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queryTables/queryTable1.xml" ContentType="application/vnd.openxmlformats-officedocument.spreadsheetml.query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nnections.xml" ContentType="application/vnd.openxmlformats-officedocument.spreadsheetml.connections+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queryTables/queryTable5.xml" ContentType="application/vnd.openxmlformats-officedocument.spreadsheetml.queryTable+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queryTables/queryTable3.xml" ContentType="application/vnd.openxmlformats-officedocument.spreadsheetml.queryTable+xml"/>
  <Override PartName="/xl/queryTables/queryTable4.xml" ContentType="application/vnd.openxmlformats-officedocument.spreadsheetml.queryTable+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queryTables/queryTable2.xml" ContentType="application/vnd.openxmlformats-officedocument.spreadsheetml.queryTable+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9075" windowWidth="19260" windowHeight="3060" tabRatio="584"/>
  </bookViews>
  <sheets>
    <sheet name="COVER" sheetId="66" r:id="rId1"/>
    <sheet name=" INDEX" sheetId="53" r:id="rId2"/>
    <sheet name="APP" sheetId="67" r:id="rId3"/>
    <sheet name="General Information" sheetId="62" r:id="rId4"/>
    <sheet name="Statement of Financial Position" sheetId="4" r:id="rId5"/>
    <sheet name="Statement of Financial Performa" sheetId="5" r:id="rId6"/>
    <sheet name="Cash Flow Statement" sheetId="7" r:id="rId7"/>
    <sheet name="Changes in Net assets" sheetId="6" r:id="rId8"/>
    <sheet name="Note 1 Accounting Policy" sheetId="52" r:id="rId9"/>
    <sheet name="Notes 2 - 9" sheetId="9" r:id="rId10"/>
    <sheet name="Note 10" sheetId="85" r:id="rId11"/>
    <sheet name="Nota 10a " sheetId="69" r:id="rId12"/>
    <sheet name="Note 10b" sheetId="70" r:id="rId13"/>
    <sheet name="Note 11-14" sheetId="11" r:id="rId14"/>
    <sheet name="Note 15" sheetId="12" r:id="rId15"/>
    <sheet name="Note 15A&amp;15B" sheetId="81" r:id="rId16"/>
    <sheet name="Note 16-17" sheetId="14" r:id="rId17"/>
    <sheet name="Notes 18-39" sheetId="16" r:id="rId18"/>
    <sheet name="Note 39(Cont)" sheetId="28" r:id="rId19"/>
    <sheet name="Note 44-50" sheetId="40" r:id="rId20"/>
    <sheet name="Appendix A" sheetId="30" r:id="rId21"/>
    <sheet name="Appendix B" sheetId="31" r:id="rId22"/>
    <sheet name="App B(1)" sheetId="71" r:id="rId23"/>
    <sheet name="App B (2)" sheetId="74" r:id="rId24"/>
    <sheet name="Appendix C" sheetId="32" r:id="rId25"/>
    <sheet name="App C (1)" sheetId="73" r:id="rId26"/>
    <sheet name="App C (2)" sheetId="72" r:id="rId27"/>
    <sheet name="Appendix D" sheetId="33" r:id="rId28"/>
    <sheet name="Appendix E(1)" sheetId="34" r:id="rId29"/>
    <sheet name="Appendix E(1)a" sheetId="79" r:id="rId30"/>
    <sheet name="Appendix E(2)" sheetId="35" r:id="rId31"/>
    <sheet name="Appendix F" sheetId="68" r:id="rId32"/>
    <sheet name="Appendix G" sheetId="36" r:id="rId33"/>
    <sheet name="CAPITAL" sheetId="82" state="hidden" r:id="rId34"/>
    <sheet name="main TB" sheetId="58" state="hidden" r:id="rId35"/>
    <sheet name="TRAIL BALANCE" sheetId="59" state="hidden" r:id="rId36"/>
    <sheet name="EMPLOYEE COST 1011" sheetId="77" state="hidden" r:id="rId37"/>
    <sheet name="GENERAL EXP NOTA 35" sheetId="76" state="hidden" r:id="rId38"/>
    <sheet name="WORK PAPER INCOME" sheetId="78" state="hidden" r:id="rId39"/>
    <sheet name="WORK PAPER STATE COMPARITIVE" sheetId="80" state="hidden" r:id="rId40"/>
    <sheet name="Nota 10d" sheetId="84" state="hidden" r:id="rId41"/>
    <sheet name="Nota 10.1-10.5" sheetId="83" state="hidden" r:id="rId42"/>
    <sheet name="Note 43" sheetId="55" state="hidden" r:id="rId43"/>
  </sheets>
  <externalReferences>
    <externalReference r:id="rId44"/>
    <externalReference r:id="rId45"/>
    <externalReference r:id="rId46"/>
  </externalReferences>
  <definedNames>
    <definedName name="_xlnm._FilterDatabase" localSheetId="35" hidden="1">'TRAIL BALANCE'!$A$1:$D$558</definedName>
    <definedName name="_Toc203654196" localSheetId="8">'Note 1 Accounting Policy'!$B$4</definedName>
    <definedName name="_xlnm.Print_Area" localSheetId="1">' INDEX'!$A$1:$D$74</definedName>
    <definedName name="_xlnm.Print_Area" localSheetId="2">APP!$A$1:$J$43</definedName>
    <definedName name="_xlnm.Print_Area" localSheetId="23">'App B (2)'!$A$1:$N$72</definedName>
    <definedName name="_xlnm.Print_Area" localSheetId="22">'App B(1)'!$A$1:$P$76</definedName>
    <definedName name="_xlnm.Print_Area" localSheetId="25">'App C (1)'!$A$1:$S$59</definedName>
    <definedName name="_xlnm.Print_Area" localSheetId="26">'App C (2)'!$A$1:$P$59</definedName>
    <definedName name="_xlnm.Print_Area" localSheetId="20">'Appendix A'!$A$1:$R$38</definedName>
    <definedName name="_xlnm.Print_Area" localSheetId="21">'Appendix B'!$A$1:$Z$37</definedName>
    <definedName name="_xlnm.Print_Area" localSheetId="24">'Appendix C'!$A$1:$AC$59</definedName>
    <definedName name="_xlnm.Print_Area" localSheetId="27">'Appendix D'!$A$1:$Q$81</definedName>
    <definedName name="_xlnm.Print_Area" localSheetId="28">'Appendix E(1)'!$A$1:$F$51</definedName>
    <definedName name="_xlnm.Print_Area" localSheetId="29">'Appendix E(1)a'!$A$1:$J$89</definedName>
    <definedName name="_xlnm.Print_Area" localSheetId="30">'Appendix E(2)'!$A$1:$H$32</definedName>
    <definedName name="_xlnm.Print_Area" localSheetId="31">'Appendix F'!$A$1:$Q$16</definedName>
    <definedName name="_xlnm.Print_Area" localSheetId="32">'Appendix G'!$A$1:$E$30</definedName>
    <definedName name="_xlnm.Print_Area" localSheetId="6">'Cash Flow Statement'!$A$1:$G$52</definedName>
    <definedName name="_xlnm.Print_Area" localSheetId="7">'Changes in Net assets'!$A$1:$D$58</definedName>
    <definedName name="_xlnm.Print_Area" localSheetId="0">COVER!$B$1:$D$40</definedName>
    <definedName name="_xlnm.Print_Area" localSheetId="37">'GENERAL EXP NOTA 35'!$A$1:$F$185</definedName>
    <definedName name="_xlnm.Print_Area" localSheetId="3">'General Information'!$A$1:$E$67</definedName>
    <definedName name="_xlnm.Print_Area" localSheetId="34">'main TB'!$A$1:$R$145</definedName>
    <definedName name="_xlnm.Print_Area" localSheetId="11">'Nota 10a '!$A$1:$I$48</definedName>
    <definedName name="_xlnm.Print_Area" localSheetId="8">'Note 1 Accounting Policy'!$A$1:$D$416</definedName>
    <definedName name="_xlnm.Print_Area" localSheetId="12">'Note 10b'!$A$1:$I$25</definedName>
    <definedName name="_xlnm.Print_Area" localSheetId="13">'Note 11-14'!$A$1:$G$117</definedName>
    <definedName name="_xlnm.Print_Area" localSheetId="14">'Note 15'!$A$1:$F$228</definedName>
    <definedName name="_xlnm.Print_Area" localSheetId="15">'Note 15A&amp;15B'!$A$1:$G$40</definedName>
    <definedName name="_xlnm.Print_Area" localSheetId="16">'Note 16-17'!$A$1:$G$130</definedName>
    <definedName name="_xlnm.Print_Area" localSheetId="18">'Note 39(Cont)'!$A$1:$I$41</definedName>
    <definedName name="_xlnm.Print_Area" localSheetId="42">'Note 43'!$A$1:$H$87</definedName>
    <definedName name="_xlnm.Print_Area" localSheetId="19">'Note 44-50'!$A$1:$H$293</definedName>
    <definedName name="_xlnm.Print_Area" localSheetId="17">'Notes 18-39'!$A$1:$I$663</definedName>
    <definedName name="_xlnm.Print_Area" localSheetId="9">'Notes 2 - 9'!$A$1:$J$206</definedName>
    <definedName name="_xlnm.Print_Area" localSheetId="5">'Statement of Financial Performa'!$C$1:$H$61</definedName>
    <definedName name="_xlnm.Print_Area" localSheetId="4">'Statement of Financial Position'!$A$1:$E$45</definedName>
    <definedName name="_xlnm.Print_Area" localSheetId="35">'TRAIL BALANCE'!$A$1:$F$556</definedName>
    <definedName name="_xlnm.Print_Area" localSheetId="39">'WORK PAPER STATE COMPARITIVE'!$A$1:$F$596</definedName>
    <definedName name="_xlnm.Print_Titles" localSheetId="1">' INDEX'!$1:$2</definedName>
    <definedName name="_xlnm.Print_Titles" localSheetId="34">'main TB'!$B:$E,'main TB'!$1:$4</definedName>
    <definedName name="_xlnm.Print_Titles" localSheetId="8">'Note 1 Accounting Policy'!$1:$3</definedName>
    <definedName name="_xlnm.Print_Titles" localSheetId="13">'Note 11-14'!$1:$2</definedName>
    <definedName name="_xlnm.Print_Titles" localSheetId="14">'Note 15'!$1:$2</definedName>
    <definedName name="_xlnm.Print_Titles" localSheetId="16">'Note 16-17'!$1:$2</definedName>
    <definedName name="_xlnm.Print_Titles" localSheetId="18">'Note 39(Cont)'!$1:$2</definedName>
    <definedName name="_xlnm.Print_Titles" localSheetId="42">'Note 43'!$1:$2</definedName>
    <definedName name="_xlnm.Print_Titles" localSheetId="17">'Notes 18-39'!$1:$2</definedName>
    <definedName name="_xlnm.Print_Titles" localSheetId="9">'Notes 2 - 9'!$1:$2</definedName>
    <definedName name="_xlnm.Print_Titles" localSheetId="35">'TRAIL BALANCE'!$1:$1</definedName>
    <definedName name="Query_from_ProMIS" localSheetId="34">'main TB'!$A$4:$J$142</definedName>
    <definedName name="Query_from_ProMIS" localSheetId="35">'TRAIL BALANCE'!$A$1:$D$558</definedName>
    <definedName name="Query_from_ProMIS" localSheetId="38">'WORK PAPER INCOME'!#REF!</definedName>
    <definedName name="Query_from_ProMIS" localSheetId="39">'WORK PAPER STATE COMPARITIVE'!#REF!</definedName>
    <definedName name="Query_from_ProMIS_1" localSheetId="35">'TRAIL BALANCE'!$A$1:$D$558</definedName>
    <definedName name="Query_from_ProMIS_1" localSheetId="38">'WORK PAPER INCOME'!#REF!</definedName>
    <definedName name="Query_from_ProMIS_1" localSheetId="39">'WORK PAPER STATE COMPARITIVE'!#REF!</definedName>
    <definedName name="Query_from_ProMIS_2" localSheetId="39">'WORK PAPER STATE COMPARITIVE'!$A$371:$E$588</definedName>
    <definedName name="Query_from_ProMIS_3" localSheetId="39">'WORK PAPER STATE COMPARITIVE'!$A$371:$E$588</definedName>
  </definedNames>
  <calcPr calcId="125725"/>
</workbook>
</file>

<file path=xl/calcChain.xml><?xml version="1.0" encoding="utf-8"?>
<calcChain xmlns="http://schemas.openxmlformats.org/spreadsheetml/2006/main">
  <c r="D209" i="40"/>
  <c r="F285"/>
  <c r="D279" s="1"/>
  <c r="D285" s="1"/>
  <c r="F562" i="16"/>
  <c r="I562" s="1"/>
  <c r="D562"/>
  <c r="D557"/>
  <c r="F557"/>
  <c r="I568"/>
  <c r="F568"/>
  <c r="D568"/>
  <c r="D56" i="9"/>
  <c r="F206" i="59" l="1"/>
  <c r="U50" i="31"/>
  <c r="D181" i="40"/>
  <c r="H23" i="31"/>
  <c r="H22"/>
  <c r="F16" i="85" l="1"/>
  <c r="F17"/>
  <c r="D644" i="16" l="1"/>
  <c r="D604"/>
  <c r="D53" i="9" l="1"/>
  <c r="F175" l="1"/>
  <c r="R89" i="58"/>
  <c r="D175" i="9" s="1"/>
  <c r="D476" i="16"/>
  <c r="P126" i="58" l="1"/>
  <c r="D13" i="12"/>
  <c r="D12"/>
  <c r="D11"/>
  <c r="P29" i="58"/>
  <c r="Q20"/>
  <c r="F204" i="59"/>
  <c r="F422"/>
  <c r="Q29" i="58"/>
  <c r="P101"/>
  <c r="F39" i="5" l="1"/>
  <c r="F259" i="59"/>
  <c r="D295" i="16" s="1"/>
  <c r="S9" i="32"/>
  <c r="T29" i="31"/>
  <c r="S57" i="32" l="1"/>
  <c r="H9" l="1"/>
  <c r="G25" i="85"/>
  <c r="H28" i="31"/>
  <c r="H12"/>
  <c r="P99" i="58"/>
  <c r="Q99"/>
  <c r="C61" i="53"/>
  <c r="D401" i="16" l="1"/>
  <c r="F227" i="59"/>
  <c r="F229"/>
  <c r="D46" i="16"/>
  <c r="C56" i="6"/>
  <c r="D94" i="11"/>
  <c r="F436" i="59"/>
  <c r="Q59" i="58"/>
  <c r="P129"/>
  <c r="Q10"/>
  <c r="Q11"/>
  <c r="S12" i="32"/>
  <c r="D82" i="11"/>
  <c r="Q113" i="58"/>
  <c r="D42" i="9"/>
  <c r="B54" i="6" s="1"/>
  <c r="P113" i="58"/>
  <c r="Q14"/>
  <c r="P14"/>
  <c r="D78" i="11"/>
  <c r="Q126" i="58"/>
  <c r="P112"/>
  <c r="Q139"/>
  <c r="D38" i="7" l="1"/>
  <c r="D481" i="16"/>
  <c r="P59" i="58"/>
  <c r="D400" i="16"/>
  <c r="F26" i="76"/>
  <c r="F99"/>
  <c r="F81" i="59"/>
  <c r="F215"/>
  <c r="P57" i="58"/>
  <c r="I17" i="32"/>
  <c r="I22" i="31"/>
  <c r="F98" i="11"/>
  <c r="F101"/>
  <c r="F110" s="1"/>
  <c r="F94"/>
  <c r="C60" i="53" l="1"/>
  <c r="C59"/>
  <c r="C20"/>
  <c r="C18"/>
  <c r="H29" i="85"/>
  <c r="C16"/>
  <c r="F110"/>
  <c r="F103"/>
  <c r="F94"/>
  <c r="F86"/>
  <c r="H60"/>
  <c r="G60" s="1"/>
  <c r="C60"/>
  <c r="I60" s="1"/>
  <c r="H59"/>
  <c r="G59"/>
  <c r="F59"/>
  <c r="E59"/>
  <c r="D59"/>
  <c r="C59"/>
  <c r="H58"/>
  <c r="G58"/>
  <c r="F58"/>
  <c r="E58"/>
  <c r="D58"/>
  <c r="C58"/>
  <c r="H56"/>
  <c r="G56" s="1"/>
  <c r="F56"/>
  <c r="F64" s="1"/>
  <c r="E56"/>
  <c r="E64" s="1"/>
  <c r="D56"/>
  <c r="D64" s="1"/>
  <c r="C56"/>
  <c r="H55"/>
  <c r="H63" s="1"/>
  <c r="F55"/>
  <c r="F63" s="1"/>
  <c r="E55"/>
  <c r="E63" s="1"/>
  <c r="D55"/>
  <c r="D63" s="1"/>
  <c r="C54"/>
  <c r="G52"/>
  <c r="C52"/>
  <c r="H51"/>
  <c r="G51"/>
  <c r="F51"/>
  <c r="E51"/>
  <c r="D51"/>
  <c r="C51"/>
  <c r="G50"/>
  <c r="I50" s="1"/>
  <c r="G48"/>
  <c r="C48"/>
  <c r="H46"/>
  <c r="H64" s="1"/>
  <c r="G45"/>
  <c r="F44"/>
  <c r="E44"/>
  <c r="D44"/>
  <c r="C44"/>
  <c r="I42"/>
  <c r="H42"/>
  <c r="G42"/>
  <c r="F42"/>
  <c r="E42"/>
  <c r="D42"/>
  <c r="C42"/>
  <c r="C30"/>
  <c r="H28"/>
  <c r="H26"/>
  <c r="G26"/>
  <c r="F26"/>
  <c r="E26"/>
  <c r="D26"/>
  <c r="C26"/>
  <c r="H25"/>
  <c r="F25"/>
  <c r="E25"/>
  <c r="D25"/>
  <c r="C25"/>
  <c r="H24"/>
  <c r="G24"/>
  <c r="F24"/>
  <c r="E24"/>
  <c r="D24"/>
  <c r="C24"/>
  <c r="G22"/>
  <c r="F22"/>
  <c r="F20" s="1"/>
  <c r="E22"/>
  <c r="D22"/>
  <c r="C22"/>
  <c r="G21"/>
  <c r="E21"/>
  <c r="E20" s="1"/>
  <c r="D21"/>
  <c r="D20" s="1"/>
  <c r="H20"/>
  <c r="F18"/>
  <c r="C18"/>
  <c r="H17"/>
  <c r="G17"/>
  <c r="D17"/>
  <c r="H16"/>
  <c r="C14"/>
  <c r="I12"/>
  <c r="H10"/>
  <c r="I8"/>
  <c r="H8"/>
  <c r="G8"/>
  <c r="F8"/>
  <c r="E8"/>
  <c r="D8"/>
  <c r="C8"/>
  <c r="G20" l="1"/>
  <c r="C64"/>
  <c r="E54"/>
  <c r="E62"/>
  <c r="I58"/>
  <c r="I25"/>
  <c r="I51"/>
  <c r="D62"/>
  <c r="F62"/>
  <c r="I59"/>
  <c r="I17"/>
  <c r="I26"/>
  <c r="I52"/>
  <c r="I22"/>
  <c r="I24"/>
  <c r="H44"/>
  <c r="G46"/>
  <c r="I46" s="1"/>
  <c r="D54"/>
  <c r="F54"/>
  <c r="H54"/>
  <c r="G55"/>
  <c r="G63" s="1"/>
  <c r="I56"/>
  <c r="G54"/>
  <c r="H62"/>
  <c r="I48"/>
  <c r="C63"/>
  <c r="I45"/>
  <c r="I44" s="1"/>
  <c r="G44" l="1"/>
  <c r="I55"/>
  <c r="I54" s="1"/>
  <c r="G64"/>
  <c r="I64" s="1"/>
  <c r="I63"/>
  <c r="C62"/>
  <c r="I62" l="1"/>
  <c r="G62"/>
  <c r="D606" i="16" l="1"/>
  <c r="N25" i="7"/>
  <c r="F121" i="9" l="1"/>
  <c r="J12" i="73"/>
  <c r="C12"/>
  <c r="N12"/>
  <c r="I12"/>
  <c r="B12"/>
  <c r="J60" i="71"/>
  <c r="C60"/>
  <c r="T31" i="31"/>
  <c r="T30"/>
  <c r="T18"/>
  <c r="H31"/>
  <c r="R87" i="58"/>
  <c r="F264" i="59"/>
  <c r="F129" i="76"/>
  <c r="F10"/>
  <c r="F209" i="59"/>
  <c r="F184" i="76"/>
  <c r="F62" i="59"/>
  <c r="F47" i="76"/>
  <c r="F43" i="59"/>
  <c r="T12" i="31"/>
  <c r="T22"/>
  <c r="Q9" i="58"/>
  <c r="H29" i="31"/>
  <c r="E16" i="85"/>
  <c r="D16" l="1"/>
  <c r="P100" i="58"/>
  <c r="D55" i="40"/>
  <c r="D35" l="1"/>
  <c r="C58" i="53"/>
  <c r="C57"/>
  <c r="C56"/>
  <c r="C55"/>
  <c r="C54"/>
  <c r="C53"/>
  <c r="C52"/>
  <c r="C51" l="1"/>
  <c r="C50"/>
  <c r="C49"/>
  <c r="C48"/>
  <c r="C47"/>
  <c r="C46"/>
  <c r="C45"/>
  <c r="C44"/>
  <c r="C43"/>
  <c r="C42"/>
  <c r="C41"/>
  <c r="C40"/>
  <c r="C39"/>
  <c r="C38"/>
  <c r="C37"/>
  <c r="C36"/>
  <c r="C35"/>
  <c r="C34"/>
  <c r="C33"/>
  <c r="C32"/>
  <c r="C31"/>
  <c r="C30"/>
  <c r="C29"/>
  <c r="C28"/>
  <c r="D64" i="40" l="1"/>
  <c r="D69"/>
  <c r="D66"/>
  <c r="B53" l="1"/>
  <c r="B55" l="1"/>
  <c r="M240" l="1"/>
  <c r="L240"/>
  <c r="D13" l="1"/>
  <c r="D103" i="11"/>
  <c r="D101"/>
  <c r="D110" s="1"/>
  <c r="F340" i="80"/>
  <c r="D309" i="16" l="1"/>
  <c r="C55" i="6"/>
  <c r="F185" i="76" l="1"/>
  <c r="F205" i="59"/>
  <c r="G15" i="12" l="1"/>
  <c r="F41" i="4"/>
  <c r="F38"/>
  <c r="F32"/>
  <c r="N22" i="30" l="1"/>
  <c r="N24"/>
  <c r="N18" l="1"/>
  <c r="N17"/>
  <c r="N16"/>
  <c r="N15"/>
  <c r="D170" i="40"/>
  <c r="D128" l="1"/>
  <c r="D117" l="1"/>
  <c r="C16" i="68" l="1"/>
  <c r="E24" i="12" l="1"/>
  <c r="E23"/>
  <c r="C197"/>
  <c r="C191"/>
  <c r="E27" l="1"/>
  <c r="D110" i="14" l="1"/>
  <c r="F181" i="16" l="1"/>
  <c r="D181"/>
  <c r="D20"/>
  <c r="D23"/>
  <c r="D21"/>
  <c r="D518" l="1"/>
  <c r="D113" i="9" l="1"/>
  <c r="G37" i="28" l="1"/>
  <c r="F37"/>
  <c r="D37"/>
  <c r="C37"/>
  <c r="E36"/>
  <c r="E35"/>
  <c r="E34"/>
  <c r="H33"/>
  <c r="H37" s="1"/>
  <c r="E33"/>
  <c r="E18"/>
  <c r="D18"/>
  <c r="C18"/>
  <c r="F14"/>
  <c r="F11"/>
  <c r="F18" s="1"/>
  <c r="T16" i="30"/>
  <c r="T25"/>
  <c r="T19"/>
  <c r="E37" i="28" l="1"/>
  <c r="T27" i="30"/>
  <c r="T24"/>
  <c r="T105" i="58"/>
  <c r="Q103"/>
  <c r="R10" i="31"/>
  <c r="F454" i="59"/>
  <c r="F38" i="5" s="1"/>
  <c r="D462" i="16" s="1"/>
  <c r="P10" i="58"/>
  <c r="P11"/>
  <c r="U6"/>
  <c r="W14"/>
  <c r="U15"/>
  <c r="D367" i="16" l="1"/>
  <c r="Q31" i="58"/>
  <c r="P31"/>
  <c r="T144"/>
  <c r="T157" s="1"/>
  <c r="Q121"/>
  <c r="P121"/>
  <c r="Q18"/>
  <c r="P18"/>
  <c r="Q25"/>
  <c r="P25"/>
  <c r="Q48"/>
  <c r="P48"/>
  <c r="Q53"/>
  <c r="P53"/>
  <c r="Q61"/>
  <c r="P61"/>
  <c r="Q95"/>
  <c r="Q110"/>
  <c r="P110"/>
  <c r="Q115"/>
  <c r="P115"/>
  <c r="Q137"/>
  <c r="P137"/>
  <c r="Q141"/>
  <c r="P141"/>
  <c r="Q97" l="1"/>
  <c r="P27"/>
  <c r="Q27"/>
  <c r="D294" i="16" l="1"/>
  <c r="E12" i="70" l="1"/>
  <c r="D14" i="12"/>
  <c r="P71" i="58"/>
  <c r="P95" s="1"/>
  <c r="P97" s="1"/>
  <c r="C135" i="12" l="1"/>
  <c r="C134"/>
  <c r="C169"/>
  <c r="C167"/>
  <c r="C168"/>
  <c r="C166"/>
  <c r="C165"/>
  <c r="C164"/>
  <c r="C159"/>
  <c r="C158"/>
  <c r="C157"/>
  <c r="C156"/>
  <c r="E165"/>
  <c r="E166"/>
  <c r="E167"/>
  <c r="E168"/>
  <c r="E169"/>
  <c r="E159"/>
  <c r="C155"/>
  <c r="C154"/>
  <c r="C118"/>
  <c r="C117"/>
  <c r="C116"/>
  <c r="C115"/>
  <c r="C114"/>
  <c r="C113"/>
  <c r="C127"/>
  <c r="C126"/>
  <c r="C125"/>
  <c r="C124"/>
  <c r="C122"/>
  <c r="E100"/>
  <c r="E105"/>
  <c r="E106"/>
  <c r="E107"/>
  <c r="E108"/>
  <c r="E109"/>
  <c r="E114"/>
  <c r="E115"/>
  <c r="E116"/>
  <c r="E117"/>
  <c r="E118"/>
  <c r="E123"/>
  <c r="E124"/>
  <c r="E125"/>
  <c r="E126"/>
  <c r="E127"/>
  <c r="E134"/>
  <c r="E135"/>
  <c r="E136"/>
  <c r="E137"/>
  <c r="C137"/>
  <c r="C132"/>
  <c r="C109"/>
  <c r="C179" s="1"/>
  <c r="C108"/>
  <c r="C107"/>
  <c r="C106"/>
  <c r="C105"/>
  <c r="C104"/>
  <c r="D38" i="16"/>
  <c r="C170" i="12" l="1"/>
  <c r="D46" i="14"/>
  <c r="D123"/>
  <c r="D47" l="1"/>
  <c r="D34"/>
  <c r="D555" i="16"/>
  <c r="D548"/>
  <c r="E10" i="82"/>
  <c r="D10"/>
  <c r="H38" i="5"/>
  <c r="F20"/>
  <c r="D55" i="16"/>
  <c r="F18" i="5"/>
  <c r="D188" i="16"/>
  <c r="F26" i="5" s="1"/>
  <c r="H37"/>
  <c r="F37"/>
  <c r="D328" i="16"/>
  <c r="D340"/>
  <c r="D156"/>
  <c r="D34" i="81" s="1"/>
  <c r="D151" i="16"/>
  <c r="D153"/>
  <c r="D154"/>
  <c r="N39" i="7" l="1"/>
  <c r="D466" i="16"/>
  <c r="E23" i="35"/>
  <c r="B10"/>
  <c r="E13"/>
  <c r="B23"/>
  <c r="B26"/>
  <c r="B40" i="34"/>
  <c r="F41" i="5" s="1"/>
  <c r="B38" i="34"/>
  <c r="G292" i="80" s="1"/>
  <c r="B22" i="34"/>
  <c r="B21"/>
  <c r="C19"/>
  <c r="K21" i="33"/>
  <c r="D134" i="9"/>
  <c r="F134"/>
  <c r="F107" l="1"/>
  <c r="D397" i="16"/>
  <c r="D394"/>
  <c r="G174" i="76"/>
  <c r="D392" i="16" s="1"/>
  <c r="G154" i="76"/>
  <c r="D391" i="16" s="1"/>
  <c r="G131" i="76"/>
  <c r="G127"/>
  <c r="D387" i="16" s="1"/>
  <c r="G117" i="76"/>
  <c r="D384" i="16" s="1"/>
  <c r="G101" i="76"/>
  <c r="D382" i="16" s="1"/>
  <c r="D383"/>
  <c r="G90" i="76"/>
  <c r="G87"/>
  <c r="D375" i="16"/>
  <c r="D372"/>
  <c r="G76" i="76"/>
  <c r="D371" i="16" s="1"/>
  <c r="G62" i="76"/>
  <c r="G55"/>
  <c r="G49"/>
  <c r="D361" i="16"/>
  <c r="G45" i="76"/>
  <c r="D360" i="16" s="1"/>
  <c r="G30" i="76"/>
  <c r="D359" i="16" s="1"/>
  <c r="G24" i="76"/>
  <c r="D358" i="16" s="1"/>
  <c r="G8" i="76"/>
  <c r="D351" i="16" s="1"/>
  <c r="E55" i="78"/>
  <c r="E45"/>
  <c r="E39"/>
  <c r="E18"/>
  <c r="E20"/>
  <c r="E19"/>
  <c r="F435" i="59"/>
  <c r="F16" i="5" s="1"/>
  <c r="F344" i="59"/>
  <c r="F245"/>
  <c r="F110"/>
  <c r="P105" i="58"/>
  <c r="P144" s="1"/>
  <c r="Q105"/>
  <c r="Q144" s="1"/>
  <c r="R86"/>
  <c r="D184" i="9" s="1"/>
  <c r="R85" i="58"/>
  <c r="D183" i="9" s="1"/>
  <c r="R84" i="58"/>
  <c r="D182" i="9" s="1"/>
  <c r="R45" i="58"/>
  <c r="F67" i="80"/>
  <c r="F264"/>
  <c r="E264"/>
  <c r="E276"/>
  <c r="E284"/>
  <c r="E289"/>
  <c r="E337"/>
  <c r="E342"/>
  <c r="E346"/>
  <c r="E364"/>
  <c r="E369"/>
  <c r="E592"/>
  <c r="F342" l="1"/>
  <c r="D342"/>
  <c r="F354"/>
  <c r="E45" i="79" s="1"/>
  <c r="D592" i="80"/>
  <c r="F592"/>
  <c r="D264"/>
  <c r="E52" i="84" l="1"/>
  <c r="D52"/>
  <c r="E45"/>
  <c r="D45"/>
  <c r="D32"/>
  <c r="C32"/>
  <c r="D31"/>
  <c r="C31"/>
  <c r="D30"/>
  <c r="C30"/>
  <c r="D29"/>
  <c r="C29"/>
  <c r="D27"/>
  <c r="C27"/>
  <c r="D26"/>
  <c r="C26"/>
  <c r="D24"/>
  <c r="C24"/>
  <c r="C34" s="1"/>
  <c r="E22"/>
  <c r="D22"/>
  <c r="C22"/>
  <c r="D17"/>
  <c r="C17"/>
  <c r="D16"/>
  <c r="C16"/>
  <c r="D15"/>
  <c r="C15"/>
  <c r="D14"/>
  <c r="C14"/>
  <c r="D12"/>
  <c r="C12"/>
  <c r="D11"/>
  <c r="C11"/>
  <c r="D9"/>
  <c r="D19" s="1"/>
  <c r="C9"/>
  <c r="C19" s="1"/>
  <c r="E7"/>
  <c r="D7"/>
  <c r="C7"/>
  <c r="G4" i="83"/>
  <c r="F4"/>
  <c r="G69"/>
  <c r="F69"/>
  <c r="G62"/>
  <c r="F62"/>
  <c r="G53"/>
  <c r="F53"/>
  <c r="G45"/>
  <c r="F45"/>
  <c r="G28"/>
  <c r="F28"/>
  <c r="G21"/>
  <c r="F21"/>
  <c r="G5"/>
  <c r="F5"/>
  <c r="D34" i="84" l="1"/>
  <c r="E11"/>
  <c r="E34"/>
  <c r="E26"/>
  <c r="E27"/>
  <c r="E29"/>
  <c r="E30"/>
  <c r="E31"/>
  <c r="E32"/>
  <c r="E12"/>
  <c r="E14"/>
  <c r="E15"/>
  <c r="E16"/>
  <c r="E17"/>
  <c r="E19"/>
  <c r="E24"/>
  <c r="E9"/>
  <c r="C25" i="53"/>
  <c r="C24"/>
  <c r="C23"/>
  <c r="C22"/>
  <c r="C21"/>
  <c r="C19"/>
  <c r="C17"/>
  <c r="C16"/>
  <c r="C15"/>
  <c r="C14"/>
  <c r="C13"/>
  <c r="C12"/>
  <c r="C11"/>
  <c r="C10"/>
  <c r="C9"/>
  <c r="E40" i="70"/>
  <c r="D40"/>
  <c r="E33"/>
  <c r="D33"/>
  <c r="V8" i="31"/>
  <c r="U8"/>
  <c r="T8"/>
  <c r="E18" i="85" s="1"/>
  <c r="V21" i="31"/>
  <c r="U21"/>
  <c r="T21"/>
  <c r="D18" i="85" s="1"/>
  <c r="V26" i="31"/>
  <c r="U26"/>
  <c r="T26"/>
  <c r="G18" i="85" s="1"/>
  <c r="W25" i="31"/>
  <c r="W20"/>
  <c r="K21"/>
  <c r="C21" i="85" s="1"/>
  <c r="J21" i="31"/>
  <c r="I21"/>
  <c r="H21"/>
  <c r="K26"/>
  <c r="J26"/>
  <c r="I26"/>
  <c r="H26"/>
  <c r="G16" i="85" s="1"/>
  <c r="I16" s="1"/>
  <c r="K8" i="31"/>
  <c r="J8"/>
  <c r="I8"/>
  <c r="H8"/>
  <c r="U27" i="32"/>
  <c r="T27"/>
  <c r="S27"/>
  <c r="U10"/>
  <c r="U24"/>
  <c r="U40"/>
  <c r="T40"/>
  <c r="U35"/>
  <c r="T35"/>
  <c r="U43"/>
  <c r="U45"/>
  <c r="T45"/>
  <c r="U48"/>
  <c r="U56"/>
  <c r="V58"/>
  <c r="V41"/>
  <c r="U8"/>
  <c r="T8"/>
  <c r="S8"/>
  <c r="T56"/>
  <c r="S56"/>
  <c r="U52"/>
  <c r="S52"/>
  <c r="U50"/>
  <c r="S50"/>
  <c r="T48"/>
  <c r="S48"/>
  <c r="S45"/>
  <c r="T43"/>
  <c r="S43"/>
  <c r="S40"/>
  <c r="S35"/>
  <c r="U31"/>
  <c r="T31"/>
  <c r="S31"/>
  <c r="T24"/>
  <c r="S24"/>
  <c r="T10"/>
  <c r="S10"/>
  <c r="K8"/>
  <c r="J8"/>
  <c r="I8"/>
  <c r="H8"/>
  <c r="K10"/>
  <c r="J10"/>
  <c r="I10"/>
  <c r="H10"/>
  <c r="B13" i="35" s="1"/>
  <c r="K24" i="32"/>
  <c r="J24"/>
  <c r="I24"/>
  <c r="H24"/>
  <c r="K27"/>
  <c r="K26" s="1"/>
  <c r="J27"/>
  <c r="J26" s="1"/>
  <c r="I27"/>
  <c r="I26" s="1"/>
  <c r="H27"/>
  <c r="H26" s="1"/>
  <c r="K31"/>
  <c r="J31"/>
  <c r="I31"/>
  <c r="H31"/>
  <c r="K35"/>
  <c r="J35"/>
  <c r="I35"/>
  <c r="H35"/>
  <c r="K40"/>
  <c r="J40"/>
  <c r="I40"/>
  <c r="H40"/>
  <c r="B19" i="35" s="1"/>
  <c r="K43" i="32"/>
  <c r="J43"/>
  <c r="I43"/>
  <c r="H43"/>
  <c r="K45"/>
  <c r="J45"/>
  <c r="I45"/>
  <c r="H45"/>
  <c r="K48"/>
  <c r="J48"/>
  <c r="I48"/>
  <c r="H48"/>
  <c r="K56"/>
  <c r="J56"/>
  <c r="I56"/>
  <c r="H56"/>
  <c r="C48" i="34"/>
  <c r="C47"/>
  <c r="C43"/>
  <c r="C25"/>
  <c r="C23"/>
  <c r="C13"/>
  <c r="C12"/>
  <c r="E46" i="79"/>
  <c r="C46" i="34" s="1"/>
  <c r="F369" i="80"/>
  <c r="E49" i="79" s="1"/>
  <c r="C49" i="34" s="1"/>
  <c r="F364" i="80"/>
  <c r="E41" i="79" s="1"/>
  <c r="C41" i="34" s="1"/>
  <c r="F350" i="80"/>
  <c r="C45" i="34" s="1"/>
  <c r="F346" i="80"/>
  <c r="E44" i="79" s="1"/>
  <c r="C44" i="34" s="1"/>
  <c r="E42" i="79"/>
  <c r="C42" i="34" s="1"/>
  <c r="F337" i="80"/>
  <c r="F293"/>
  <c r="E38" i="79" s="1"/>
  <c r="C38" i="34" s="1"/>
  <c r="F289" i="80"/>
  <c r="E37" i="79" s="1"/>
  <c r="C37" i="34" s="1"/>
  <c r="F284" i="80"/>
  <c r="E39" i="79" s="1"/>
  <c r="C39" i="34" s="1"/>
  <c r="F276" i="80"/>
  <c r="E36" i="79" s="1"/>
  <c r="C36" i="34" s="1"/>
  <c r="F83" i="80"/>
  <c r="F80"/>
  <c r="E18" i="79" s="1"/>
  <c r="C18" i="34" s="1"/>
  <c r="F77" i="80"/>
  <c r="E10" i="79" s="1"/>
  <c r="C10" i="34" s="1"/>
  <c r="F74" i="80"/>
  <c r="E9" i="79" s="1"/>
  <c r="C9" i="34" s="1"/>
  <c r="F64" i="80"/>
  <c r="E14" i="79" s="1"/>
  <c r="C14" i="34" s="1"/>
  <c r="F58" i="80"/>
  <c r="E11" i="79" s="1"/>
  <c r="C11" i="34" s="1"/>
  <c r="F55" i="80"/>
  <c r="F52"/>
  <c r="E16" i="79" s="1"/>
  <c r="C16" i="34" s="1"/>
  <c r="F49" i="80"/>
  <c r="E15" i="79" s="1"/>
  <c r="C15" i="34" s="1"/>
  <c r="F45" i="80"/>
  <c r="E22" i="79" s="1"/>
  <c r="C22" i="34" s="1"/>
  <c r="F41" i="80"/>
  <c r="E21" i="79" s="1"/>
  <c r="C21" i="34" s="1"/>
  <c r="F37" i="80"/>
  <c r="E20" i="79" s="1"/>
  <c r="C20" i="34" s="1"/>
  <c r="F31" i="80"/>
  <c r="F27"/>
  <c r="F16"/>
  <c r="F13"/>
  <c r="E83"/>
  <c r="C17" i="79" s="1"/>
  <c r="D83" i="80"/>
  <c r="B17" i="79" s="1"/>
  <c r="E80" i="80"/>
  <c r="C18" i="79" s="1"/>
  <c r="D80" i="80"/>
  <c r="B18" i="79" s="1"/>
  <c r="E77" i="80"/>
  <c r="C10" i="79" s="1"/>
  <c r="D77" i="80"/>
  <c r="B10" i="79" s="1"/>
  <c r="E74" i="80"/>
  <c r="C9" i="79" s="1"/>
  <c r="D74" i="80"/>
  <c r="B9" i="79" s="1"/>
  <c r="E64" i="80"/>
  <c r="C14" i="79" s="1"/>
  <c r="D64" i="80"/>
  <c r="B14" i="79" s="1"/>
  <c r="E58" i="80"/>
  <c r="C11" i="79" s="1"/>
  <c r="D58" i="80"/>
  <c r="B11" i="79" s="1"/>
  <c r="E55" i="80"/>
  <c r="D55"/>
  <c r="E52"/>
  <c r="C16" i="79" s="1"/>
  <c r="D52" i="80"/>
  <c r="B16" i="79" s="1"/>
  <c r="E49" i="80"/>
  <c r="C15" i="79" s="1"/>
  <c r="D49" i="80"/>
  <c r="B15" i="79" s="1"/>
  <c r="E45" i="80"/>
  <c r="C22" i="79" s="1"/>
  <c r="D45" i="80"/>
  <c r="B22" i="79" s="1"/>
  <c r="E41" i="80"/>
  <c r="C21" i="79" s="1"/>
  <c r="D41" i="80"/>
  <c r="B21" i="79" s="1"/>
  <c r="E37" i="80"/>
  <c r="C20" i="79" s="1"/>
  <c r="D37" i="80"/>
  <c r="B20" i="79" s="1"/>
  <c r="E31" i="80"/>
  <c r="D31"/>
  <c r="E16"/>
  <c r="D16"/>
  <c r="E27"/>
  <c r="C24" i="79" s="1"/>
  <c r="D27" i="80"/>
  <c r="B24" i="79" s="1"/>
  <c r="E13" i="80"/>
  <c r="D13"/>
  <c r="E350"/>
  <c r="D350"/>
  <c r="B45" i="79" s="1"/>
  <c r="D346" i="80"/>
  <c r="B44" i="79" s="1"/>
  <c r="C42"/>
  <c r="B42"/>
  <c r="E293" i="80"/>
  <c r="D293"/>
  <c r="B38" i="79" s="1"/>
  <c r="D289" i="80"/>
  <c r="B37" i="79" s="1"/>
  <c r="B49" i="34"/>
  <c r="B48"/>
  <c r="B47"/>
  <c r="B45"/>
  <c r="B44"/>
  <c r="B42"/>
  <c r="B41"/>
  <c r="B39"/>
  <c r="B37"/>
  <c r="B25"/>
  <c r="B20"/>
  <c r="B18"/>
  <c r="B17"/>
  <c r="B16"/>
  <c r="B15"/>
  <c r="B14"/>
  <c r="B10"/>
  <c r="D10" s="1"/>
  <c r="B9"/>
  <c r="B8"/>
  <c r="C71" i="79"/>
  <c r="B71"/>
  <c r="C64"/>
  <c r="B64"/>
  <c r="C54"/>
  <c r="C56" s="1"/>
  <c r="B54"/>
  <c r="B56" s="1"/>
  <c r="F44" i="5"/>
  <c r="N28" i="7" s="1"/>
  <c r="H44" i="5"/>
  <c r="E218" i="12"/>
  <c r="I18" i="85" l="1"/>
  <c r="C20"/>
  <c r="I21"/>
  <c r="I20" s="1"/>
  <c r="U36" i="31"/>
  <c r="E40" i="79"/>
  <c r="C40" i="34" s="1"/>
  <c r="F594" i="80"/>
  <c r="F596" s="1"/>
  <c r="C41" i="79"/>
  <c r="C44"/>
  <c r="C45"/>
  <c r="C39"/>
  <c r="C37"/>
  <c r="C38"/>
  <c r="E24"/>
  <c r="C24" i="34" s="1"/>
  <c r="D24" i="79"/>
  <c r="E17"/>
  <c r="C17" i="34" s="1"/>
  <c r="F85" i="80"/>
  <c r="E35" i="79"/>
  <c r="C35" i="34" s="1"/>
  <c r="C8" i="79"/>
  <c r="E85" i="80"/>
  <c r="B8" i="79"/>
  <c r="D85" i="80"/>
  <c r="E8" i="79"/>
  <c r="C8" i="34" s="1"/>
  <c r="H59" i="32"/>
  <c r="S59"/>
  <c r="T59"/>
  <c r="U59"/>
  <c r="T36" i="31"/>
  <c r="V36"/>
  <c r="H36"/>
  <c r="J36"/>
  <c r="I36"/>
  <c r="K36"/>
  <c r="I59" i="32"/>
  <c r="J59"/>
  <c r="K59"/>
  <c r="D299" i="16" l="1"/>
  <c r="D159" i="9"/>
  <c r="F151"/>
  <c r="D151"/>
  <c r="F142"/>
  <c r="D142" s="1"/>
  <c r="F124"/>
  <c r="I570" i="16"/>
  <c r="H570"/>
  <c r="F570"/>
  <c r="D570"/>
  <c r="I564"/>
  <c r="H564"/>
  <c r="F564"/>
  <c r="D564"/>
  <c r="F555"/>
  <c r="F548"/>
  <c r="F587"/>
  <c r="F591" s="1"/>
  <c r="D586" s="1"/>
  <c r="D591" s="1"/>
  <c r="D415"/>
  <c r="F415"/>
  <c r="D331"/>
  <c r="F45" i="5" s="1"/>
  <c r="F328" i="16"/>
  <c r="F331" s="1"/>
  <c r="H45" i="5" s="1"/>
  <c r="D158" i="16"/>
  <c r="D36" i="81" s="1"/>
  <c r="D157" i="16"/>
  <c r="D35" i="81" s="1"/>
  <c r="D155" i="16"/>
  <c r="D33" i="81" s="1"/>
  <c r="D32"/>
  <c r="D31"/>
  <c r="D152" i="16"/>
  <c r="D30" i="81" s="1"/>
  <c r="D29"/>
  <c r="F157" i="16"/>
  <c r="F35" i="81" s="1"/>
  <c r="F158" i="16"/>
  <c r="F36" i="81" s="1"/>
  <c r="F155" i="16"/>
  <c r="F33" i="81" s="1"/>
  <c r="F154" i="16"/>
  <c r="F32" i="81" s="1"/>
  <c r="F153" i="16"/>
  <c r="F31" i="81" s="1"/>
  <c r="F152" i="16"/>
  <c r="F30" i="81" s="1"/>
  <c r="F151" i="16"/>
  <c r="F29" i="81" s="1"/>
  <c r="F149" i="16"/>
  <c r="F26" i="81" s="1"/>
  <c r="D164" i="16"/>
  <c r="F164"/>
  <c r="F55"/>
  <c r="F59" s="1"/>
  <c r="H15" i="5" s="1"/>
  <c r="D59" i="16"/>
  <c r="F15" i="5" s="1"/>
  <c r="F234" i="40"/>
  <c r="D226" s="1"/>
  <c r="D234" s="1"/>
  <c r="F217"/>
  <c r="F174"/>
  <c r="D168" s="1"/>
  <c r="D24"/>
  <c r="F24"/>
  <c r="F13"/>
  <c r="D635" i="16"/>
  <c r="D626"/>
  <c r="D617"/>
  <c r="D579"/>
  <c r="D582" s="1"/>
  <c r="D538"/>
  <c r="D516"/>
  <c r="D510"/>
  <c r="D504"/>
  <c r="D447"/>
  <c r="D311"/>
  <c r="F309"/>
  <c r="H41" i="5"/>
  <c r="F36"/>
  <c r="D465" i="16" s="1"/>
  <c r="H36" i="5"/>
  <c r="F43"/>
  <c r="D464" i="16" s="1"/>
  <c r="F48" i="5"/>
  <c r="D472" i="16" s="1"/>
  <c r="H48" i="5"/>
  <c r="D341" i="16"/>
  <c r="F341"/>
  <c r="F340"/>
  <c r="D91"/>
  <c r="D94" s="1"/>
  <c r="D402"/>
  <c r="F402"/>
  <c r="D399"/>
  <c r="D398"/>
  <c r="D396"/>
  <c r="D395"/>
  <c r="D390"/>
  <c r="D389"/>
  <c r="D388"/>
  <c r="D385"/>
  <c r="D381"/>
  <c r="D380"/>
  <c r="D379"/>
  <c r="D378"/>
  <c r="D377"/>
  <c r="D376"/>
  <c r="D374"/>
  <c r="D373"/>
  <c r="D370"/>
  <c r="D369"/>
  <c r="D368"/>
  <c r="D366"/>
  <c r="D365"/>
  <c r="D364"/>
  <c r="D362"/>
  <c r="D357"/>
  <c r="D356"/>
  <c r="D355"/>
  <c r="D354"/>
  <c r="D353"/>
  <c r="D352"/>
  <c r="B46" i="34"/>
  <c r="D343" i="16"/>
  <c r="F46" i="5" s="1"/>
  <c r="D317" i="16"/>
  <c r="D320" s="1"/>
  <c r="D283"/>
  <c r="D282"/>
  <c r="D281"/>
  <c r="D280"/>
  <c r="D279"/>
  <c r="D278"/>
  <c r="D276"/>
  <c r="D261"/>
  <c r="D254"/>
  <c r="D247"/>
  <c r="D239"/>
  <c r="D231"/>
  <c r="F186" i="77"/>
  <c r="F168"/>
  <c r="F155"/>
  <c r="F147"/>
  <c r="F19"/>
  <c r="F38"/>
  <c r="F54"/>
  <c r="D221" i="16" s="1"/>
  <c r="F64" i="77"/>
  <c r="D222" i="16" s="1"/>
  <c r="F81" i="77"/>
  <c r="F96"/>
  <c r="D220" i="16" s="1"/>
  <c r="F106" i="77"/>
  <c r="F120"/>
  <c r="F137"/>
  <c r="D219" i="16" s="1"/>
  <c r="D202"/>
  <c r="D199" s="1"/>
  <c r="D173"/>
  <c r="D141"/>
  <c r="F141"/>
  <c r="D131"/>
  <c r="D122"/>
  <c r="F91"/>
  <c r="F94" s="1"/>
  <c r="D100"/>
  <c r="D103" s="1"/>
  <c r="D80"/>
  <c r="D75" s="1"/>
  <c r="D72"/>
  <c r="D71"/>
  <c r="D70"/>
  <c r="D69"/>
  <c r="F69"/>
  <c r="D68"/>
  <c r="D47"/>
  <c r="D13"/>
  <c r="D12"/>
  <c r="D11"/>
  <c r="D10"/>
  <c r="D86" i="14"/>
  <c r="D73"/>
  <c r="D60"/>
  <c r="D66" i="11"/>
  <c r="D71" s="1"/>
  <c r="D18"/>
  <c r="D109" i="9"/>
  <c r="D37"/>
  <c r="C10" i="4" s="1"/>
  <c r="D28" i="9"/>
  <c r="D22"/>
  <c r="E30" i="78"/>
  <c r="D30"/>
  <c r="E83"/>
  <c r="E84" s="1"/>
  <c r="E80"/>
  <c r="E81" s="1"/>
  <c r="E77"/>
  <c r="E78" s="1"/>
  <c r="E74"/>
  <c r="E73"/>
  <c r="E72"/>
  <c r="E71"/>
  <c r="E70"/>
  <c r="E69"/>
  <c r="E68"/>
  <c r="E64"/>
  <c r="E63"/>
  <c r="E62"/>
  <c r="E61"/>
  <c r="E58"/>
  <c r="E59" s="1"/>
  <c r="E56"/>
  <c r="E52"/>
  <c r="E53" s="1"/>
  <c r="E49"/>
  <c r="E50" s="1"/>
  <c r="E46"/>
  <c r="E42"/>
  <c r="E43" s="1"/>
  <c r="E40"/>
  <c r="E35"/>
  <c r="E34"/>
  <c r="E33"/>
  <c r="E32"/>
  <c r="E25"/>
  <c r="E24"/>
  <c r="E23"/>
  <c r="E22"/>
  <c r="E21"/>
  <c r="E11"/>
  <c r="E10"/>
  <c r="E9"/>
  <c r="E8"/>
  <c r="N31" i="30"/>
  <c r="N36" s="1"/>
  <c r="M31"/>
  <c r="M36" s="1"/>
  <c r="L31"/>
  <c r="L36" s="1"/>
  <c r="D22" i="69"/>
  <c r="D10"/>
  <c r="D16"/>
  <c r="M65" i="71"/>
  <c r="G65"/>
  <c r="M64"/>
  <c r="G64"/>
  <c r="M63"/>
  <c r="G63"/>
  <c r="M62"/>
  <c r="G62"/>
  <c r="M59"/>
  <c r="O59" s="1"/>
  <c r="M58"/>
  <c r="G58"/>
  <c r="P57"/>
  <c r="L57"/>
  <c r="K57"/>
  <c r="K67" s="1"/>
  <c r="J57"/>
  <c r="F57"/>
  <c r="E57"/>
  <c r="D57"/>
  <c r="D67" s="1"/>
  <c r="C57"/>
  <c r="M55"/>
  <c r="M52" s="1"/>
  <c r="G55"/>
  <c r="G52" s="1"/>
  <c r="O54"/>
  <c r="O53"/>
  <c r="P52"/>
  <c r="L52"/>
  <c r="J52"/>
  <c r="I52"/>
  <c r="F52"/>
  <c r="E52"/>
  <c r="C52"/>
  <c r="B52"/>
  <c r="M50"/>
  <c r="G50"/>
  <c r="M49"/>
  <c r="G49"/>
  <c r="M48"/>
  <c r="G48"/>
  <c r="O48" s="1"/>
  <c r="M47"/>
  <c r="G47"/>
  <c r="O47" s="1"/>
  <c r="M46"/>
  <c r="G46"/>
  <c r="O46" s="1"/>
  <c r="M45"/>
  <c r="G45"/>
  <c r="O45" s="1"/>
  <c r="M44"/>
  <c r="G44"/>
  <c r="O44" s="1"/>
  <c r="M43"/>
  <c r="G43"/>
  <c r="O43" s="1"/>
  <c r="M42"/>
  <c r="G42"/>
  <c r="O42" s="1"/>
  <c r="M41"/>
  <c r="G41"/>
  <c r="O41" s="1"/>
  <c r="M40"/>
  <c r="G40"/>
  <c r="O40" s="1"/>
  <c r="P39"/>
  <c r="M39"/>
  <c r="L39"/>
  <c r="J39"/>
  <c r="I39"/>
  <c r="G39"/>
  <c r="F39"/>
  <c r="E39"/>
  <c r="C39"/>
  <c r="B39"/>
  <c r="D29" i="69"/>
  <c r="K68" i="74"/>
  <c r="F68"/>
  <c r="K67"/>
  <c r="F67"/>
  <c r="K66"/>
  <c r="F66"/>
  <c r="K65"/>
  <c r="F65"/>
  <c r="K64"/>
  <c r="F64"/>
  <c r="K63"/>
  <c r="F63"/>
  <c r="K62"/>
  <c r="M62" s="1"/>
  <c r="K61"/>
  <c r="F61"/>
  <c r="F60" s="1"/>
  <c r="N60"/>
  <c r="J60"/>
  <c r="I60"/>
  <c r="H60"/>
  <c r="E60"/>
  <c r="D60"/>
  <c r="C60"/>
  <c r="B60"/>
  <c r="K58"/>
  <c r="M57"/>
  <c r="M56"/>
  <c r="N55"/>
  <c r="K55"/>
  <c r="J55"/>
  <c r="I55"/>
  <c r="H55"/>
  <c r="E55"/>
  <c r="D55"/>
  <c r="C55"/>
  <c r="K53"/>
  <c r="F53"/>
  <c r="K52"/>
  <c r="F52"/>
  <c r="K51"/>
  <c r="F51"/>
  <c r="K50"/>
  <c r="F50"/>
  <c r="K49"/>
  <c r="F49"/>
  <c r="K48"/>
  <c r="F48"/>
  <c r="K47"/>
  <c r="F47"/>
  <c r="K46"/>
  <c r="F46"/>
  <c r="K45"/>
  <c r="F45"/>
  <c r="K44"/>
  <c r="F44"/>
  <c r="K43"/>
  <c r="F43"/>
  <c r="F42" s="1"/>
  <c r="N42"/>
  <c r="J42"/>
  <c r="I42"/>
  <c r="H42"/>
  <c r="E42"/>
  <c r="D42"/>
  <c r="C42"/>
  <c r="B42"/>
  <c r="C20" i="33"/>
  <c r="C26"/>
  <c r="G27"/>
  <c r="C36"/>
  <c r="C39"/>
  <c r="E39"/>
  <c r="G40"/>
  <c r="G41"/>
  <c r="G60"/>
  <c r="G66"/>
  <c r="C68"/>
  <c r="E68"/>
  <c r="G69"/>
  <c r="G70"/>
  <c r="G74"/>
  <c r="F22" i="5"/>
  <c r="H22"/>
  <c r="E4" i="76"/>
  <c r="F352" i="16"/>
  <c r="E230" i="59"/>
  <c r="F555"/>
  <c r="M65" i="33" s="1"/>
  <c r="F522" i="59"/>
  <c r="F517"/>
  <c r="M33" i="33" s="1"/>
  <c r="F512" i="59"/>
  <c r="F507"/>
  <c r="M37" i="33" s="1"/>
  <c r="F503" i="59"/>
  <c r="M24" i="33" s="1"/>
  <c r="F498" i="59"/>
  <c r="M23" i="33" s="1"/>
  <c r="F485" i="59"/>
  <c r="M22" i="33" s="1"/>
  <c r="F477" i="59"/>
  <c r="F468"/>
  <c r="F440"/>
  <c r="F427"/>
  <c r="F420"/>
  <c r="K17" i="33" s="1"/>
  <c r="F413" i="59"/>
  <c r="F380"/>
  <c r="K64" i="33" s="1"/>
  <c r="F370" i="59"/>
  <c r="G370" s="1"/>
  <c r="F339"/>
  <c r="F315"/>
  <c r="F312"/>
  <c r="F302"/>
  <c r="D149" i="16" s="1"/>
  <c r="D26" i="81" s="1"/>
  <c r="F298" i="59"/>
  <c r="M56" i="33" s="1"/>
  <c r="F279" i="59"/>
  <c r="K56" i="33" s="1"/>
  <c r="F276" i="59"/>
  <c r="M28" i="33" s="1"/>
  <c r="F270" i="59"/>
  <c r="F248"/>
  <c r="K16" i="33" s="1"/>
  <c r="F231" i="59"/>
  <c r="F189"/>
  <c r="F182"/>
  <c r="F166"/>
  <c r="F149"/>
  <c r="K31" i="33" s="1"/>
  <c r="F146" i="59"/>
  <c r="M15" i="33" s="1"/>
  <c r="F135" i="59"/>
  <c r="F98"/>
  <c r="K18" i="33" s="1"/>
  <c r="F95" i="59"/>
  <c r="F90"/>
  <c r="F64"/>
  <c r="F14"/>
  <c r="E95"/>
  <c r="E98"/>
  <c r="E279"/>
  <c r="C56" i="33" s="1"/>
  <c r="C55" s="1"/>
  <c r="D177" i="40" l="1"/>
  <c r="E19" i="4"/>
  <c r="D119" i="9"/>
  <c r="N29" i="7"/>
  <c r="N27"/>
  <c r="F559" i="59"/>
  <c r="O49" i="71"/>
  <c r="O62"/>
  <c r="O63"/>
  <c r="O64"/>
  <c r="O65"/>
  <c r="D17" i="7"/>
  <c r="D468" i="16" s="1"/>
  <c r="F53" i="5"/>
  <c r="N26" i="7" s="1"/>
  <c r="D23" i="81"/>
  <c r="D463" i="16"/>
  <c r="F19" i="5"/>
  <c r="D66" i="16"/>
  <c r="D83" s="1"/>
  <c r="D223"/>
  <c r="F188" i="77"/>
  <c r="B35" i="34" s="1"/>
  <c r="D218" i="16"/>
  <c r="K14" i="33"/>
  <c r="G231" i="59"/>
  <c r="M34" i="33"/>
  <c r="G312" i="59"/>
  <c r="G64"/>
  <c r="M16" i="33"/>
  <c r="G270" i="59"/>
  <c r="K34" i="33"/>
  <c r="B24" i="34"/>
  <c r="M64" i="33"/>
  <c r="G413" i="59"/>
  <c r="M17" i="33"/>
  <c r="G427" i="59"/>
  <c r="M73" i="33"/>
  <c r="K11"/>
  <c r="F558" i="59"/>
  <c r="F560" s="1"/>
  <c r="M31" i="33"/>
  <c r="G166" i="59"/>
  <c r="M61" i="33"/>
  <c r="G339" i="59"/>
  <c r="K65" i="33"/>
  <c r="G555" i="59"/>
  <c r="K73" i="33"/>
  <c r="G468" i="59"/>
  <c r="M44" i="74"/>
  <c r="M45"/>
  <c r="M46"/>
  <c r="M47"/>
  <c r="M48"/>
  <c r="M49"/>
  <c r="M50"/>
  <c r="M51"/>
  <c r="M52"/>
  <c r="M63"/>
  <c r="M64"/>
  <c r="M65"/>
  <c r="O58" i="71"/>
  <c r="M66" i="74"/>
  <c r="M67"/>
  <c r="O50" i="71"/>
  <c r="D20" i="9"/>
  <c r="D216" i="16"/>
  <c r="K42" i="74"/>
  <c r="D70"/>
  <c r="H70"/>
  <c r="J70"/>
  <c r="M68"/>
  <c r="F67" i="71"/>
  <c r="P67"/>
  <c r="M53" i="74"/>
  <c r="I70"/>
  <c r="N70"/>
  <c r="K60"/>
  <c r="O55" i="71"/>
  <c r="O52" s="1"/>
  <c r="C67"/>
  <c r="E67"/>
  <c r="J67"/>
  <c r="L67"/>
  <c r="D48" i="16"/>
  <c r="B11" i="34"/>
  <c r="F160" i="16"/>
  <c r="H21" i="5" s="1"/>
  <c r="D160" i="16"/>
  <c r="F21" i="5" s="1"/>
  <c r="D209" i="16"/>
  <c r="D16" i="7" s="1"/>
  <c r="D531" i="16"/>
  <c r="D268"/>
  <c r="D285"/>
  <c r="F35" i="5" s="1"/>
  <c r="D404" i="16"/>
  <c r="M11" i="33"/>
  <c r="M32"/>
  <c r="E14" i="78"/>
  <c r="E26"/>
  <c r="E36"/>
  <c r="D16" i="16"/>
  <c r="M18" i="33"/>
  <c r="E65" i="78"/>
  <c r="M14" i="33"/>
  <c r="M21"/>
  <c r="K61"/>
  <c r="E87" i="78"/>
  <c r="E75"/>
  <c r="E70" i="74"/>
  <c r="D15" i="70" s="1"/>
  <c r="C70" i="74"/>
  <c r="D24" i="7" s="1"/>
  <c r="K70" i="74"/>
  <c r="M43"/>
  <c r="M61"/>
  <c r="G68" i="33"/>
  <c r="G39"/>
  <c r="G59"/>
  <c r="F556" i="59"/>
  <c r="O39" i="71" l="1"/>
  <c r="M42" i="74"/>
  <c r="D227" i="16"/>
  <c r="M60" i="74"/>
  <c r="E88" i="78"/>
  <c r="F17" i="5" l="1"/>
  <c r="D13" i="81" s="1"/>
  <c r="D14"/>
  <c r="D24"/>
  <c r="F47" i="5"/>
  <c r="F42"/>
  <c r="F34"/>
  <c r="F27"/>
  <c r="D471" i="16" s="1"/>
  <c r="D25" i="81"/>
  <c r="F14" i="5"/>
  <c r="D12" i="81" s="1"/>
  <c r="F13" i="5"/>
  <c r="F12"/>
  <c r="D11" i="81" s="1"/>
  <c r="F10" i="5"/>
  <c r="D10" i="81" s="1"/>
  <c r="E201" i="12"/>
  <c r="E197"/>
  <c r="E191"/>
  <c r="E21"/>
  <c r="E17"/>
  <c r="E16"/>
  <c r="E15"/>
  <c r="D10"/>
  <c r="D18" s="1"/>
  <c r="F49" i="9"/>
  <c r="N40" i="7" l="1"/>
  <c r="N42"/>
  <c r="D473" i="16"/>
  <c r="D27" i="81"/>
  <c r="D22"/>
  <c r="D15"/>
  <c r="D8" s="1"/>
  <c r="D267" i="40" s="1"/>
  <c r="F49" i="5"/>
  <c r="D12" i="7" s="1"/>
  <c r="F23" i="5"/>
  <c r="D11" i="7" s="1"/>
  <c r="D20" i="81" l="1"/>
  <c r="D39" s="1"/>
  <c r="F29" i="5"/>
  <c r="N37" i="7" s="1"/>
  <c r="F55" i="5"/>
  <c r="N21" i="7" s="1"/>
  <c r="F57" i="5" l="1"/>
  <c r="F60" s="1"/>
  <c r="C53" i="6" s="1"/>
  <c r="D53" s="1"/>
  <c r="C23" i="4"/>
  <c r="C18"/>
  <c r="F124" i="40"/>
  <c r="F117"/>
  <c r="F120" s="1"/>
  <c r="F114"/>
  <c r="F108"/>
  <c r="F100"/>
  <c r="F99"/>
  <c r="F98"/>
  <c r="F89"/>
  <c r="F71"/>
  <c r="F70"/>
  <c r="F69"/>
  <c r="F68"/>
  <c r="F67"/>
  <c r="F66"/>
  <c r="F65"/>
  <c r="F64"/>
  <c r="F188" i="16"/>
  <c r="H26" i="5" s="1"/>
  <c r="D50" i="16"/>
  <c r="H96" i="9"/>
  <c r="H88"/>
  <c r="F96"/>
  <c r="F88"/>
  <c r="D96"/>
  <c r="D88"/>
  <c r="D57" i="6"/>
  <c r="D55"/>
  <c r="D460" i="16" l="1"/>
  <c r="B77" i="79"/>
  <c r="F103" i="40"/>
  <c r="F62"/>
  <c r="Z59" i="5" l="1"/>
  <c r="Z58"/>
  <c r="Z56"/>
  <c r="Z54"/>
  <c r="Z51"/>
  <c r="Z50"/>
  <c r="Z40"/>
  <c r="Z33"/>
  <c r="Z32"/>
  <c r="Z31"/>
  <c r="Z30"/>
  <c r="Z28"/>
  <c r="Z25"/>
  <c r="Z24"/>
  <c r="Y23"/>
  <c r="Y49"/>
  <c r="Y55" s="1"/>
  <c r="D217" i="40"/>
  <c r="Y29" i="5" l="1"/>
  <c r="S13"/>
  <c r="Z15"/>
  <c r="S15"/>
  <c r="U15"/>
  <c r="H16"/>
  <c r="Z16" s="1"/>
  <c r="S16"/>
  <c r="U16"/>
  <c r="H17"/>
  <c r="Z17" s="1"/>
  <c r="S17"/>
  <c r="U17"/>
  <c r="H18"/>
  <c r="Z18" s="1"/>
  <c r="S18"/>
  <c r="Z22"/>
  <c r="S22"/>
  <c r="Z36"/>
  <c r="S36"/>
  <c r="U36"/>
  <c r="S37"/>
  <c r="U37"/>
  <c r="U38"/>
  <c r="S41"/>
  <c r="U41"/>
  <c r="S42"/>
  <c r="U42"/>
  <c r="S43"/>
  <c r="S45"/>
  <c r="U45"/>
  <c r="Z48"/>
  <c r="S48"/>
  <c r="S44"/>
  <c r="D585" i="40"/>
  <c r="D593" s="1"/>
  <c r="F585"/>
  <c r="F593" s="1"/>
  <c r="Y57" i="5" l="1"/>
  <c r="M22" i="58"/>
  <c r="Y60" i="5" l="1"/>
  <c r="C25" i="32"/>
  <c r="C24" i="31"/>
  <c r="C17" i="32" l="1"/>
  <c r="C23" i="31"/>
  <c r="M100" i="58"/>
  <c r="C23" i="36"/>
  <c r="O82" i="58"/>
  <c r="R82" s="1"/>
  <c r="D181" i="9" l="1"/>
  <c r="F181"/>
  <c r="F123" i="14"/>
  <c r="X40" i="5" l="1"/>
  <c r="D47" i="6" l="1"/>
  <c r="C49"/>
  <c r="C48"/>
  <c r="D48" s="1"/>
  <c r="E30" i="4"/>
  <c r="F447" i="16" l="1"/>
  <c r="C46" i="6" s="1"/>
  <c r="F14" i="11"/>
  <c r="F512" i="16"/>
  <c r="F510" l="1"/>
  <c r="F516"/>
  <c r="F531" l="1"/>
  <c r="D46" i="6"/>
  <c r="D49"/>
  <c r="D11" i="69"/>
  <c r="H24"/>
  <c r="H22"/>
  <c r="K10" i="73"/>
  <c r="K26" i="71"/>
  <c r="K36" s="1"/>
  <c r="G12" i="73" l="1"/>
  <c r="D10"/>
  <c r="M29" i="71"/>
  <c r="I60" s="1"/>
  <c r="D26"/>
  <c r="D36" s="1"/>
  <c r="G29"/>
  <c r="B60" s="1"/>
  <c r="G60" s="1"/>
  <c r="M60" l="1"/>
  <c r="G31" i="31"/>
  <c r="L31" s="1"/>
  <c r="F24"/>
  <c r="G29"/>
  <c r="L29" s="1"/>
  <c r="O60" i="71" l="1"/>
  <c r="R49" i="32"/>
  <c r="V49" s="1"/>
  <c r="V48" s="1"/>
  <c r="R44"/>
  <c r="V44" s="1"/>
  <c r="V43" s="1"/>
  <c r="R42"/>
  <c r="V42" s="1"/>
  <c r="V40" s="1"/>
  <c r="R39"/>
  <c r="V39" s="1"/>
  <c r="R38"/>
  <c r="V38" s="1"/>
  <c r="R37"/>
  <c r="V37" s="1"/>
  <c r="R36"/>
  <c r="V36" s="1"/>
  <c r="R34"/>
  <c r="V34" s="1"/>
  <c r="R33"/>
  <c r="V33" s="1"/>
  <c r="R25"/>
  <c r="V25" s="1"/>
  <c r="R23"/>
  <c r="V23" s="1"/>
  <c r="R22"/>
  <c r="V22" s="1"/>
  <c r="R21"/>
  <c r="V21" s="1"/>
  <c r="R20"/>
  <c r="V20" s="1"/>
  <c r="R19"/>
  <c r="V19" s="1"/>
  <c r="R18"/>
  <c r="V18" s="1"/>
  <c r="R17"/>
  <c r="V17" s="1"/>
  <c r="R16"/>
  <c r="V16" s="1"/>
  <c r="R15"/>
  <c r="V15" s="1"/>
  <c r="R14"/>
  <c r="V14" s="1"/>
  <c r="R13"/>
  <c r="V13" s="1"/>
  <c r="R12"/>
  <c r="V12" s="1"/>
  <c r="R11"/>
  <c r="V11" s="1"/>
  <c r="R9"/>
  <c r="V9" s="1"/>
  <c r="V8" s="1"/>
  <c r="P8"/>
  <c r="P10"/>
  <c r="P24"/>
  <c r="P31"/>
  <c r="P35"/>
  <c r="P40"/>
  <c r="P43"/>
  <c r="P48"/>
  <c r="P56"/>
  <c r="D10"/>
  <c r="D59" s="1"/>
  <c r="G12"/>
  <c r="L12" s="1"/>
  <c r="H16" i="69"/>
  <c r="Z12" i="32" l="1"/>
  <c r="P59"/>
  <c r="V10"/>
  <c r="V35"/>
  <c r="R34" i="31"/>
  <c r="W34" s="1"/>
  <c r="R33"/>
  <c r="W33" s="1"/>
  <c r="R32"/>
  <c r="W32" s="1"/>
  <c r="R31"/>
  <c r="W31" s="1"/>
  <c r="Y31" s="1"/>
  <c r="R30"/>
  <c r="W30" s="1"/>
  <c r="R29"/>
  <c r="W29" s="1"/>
  <c r="Y29" s="1"/>
  <c r="R28"/>
  <c r="W28" s="1"/>
  <c r="R24"/>
  <c r="W24" s="1"/>
  <c r="R23"/>
  <c r="R19"/>
  <c r="W19" s="1"/>
  <c r="R18"/>
  <c r="W18" s="1"/>
  <c r="R17"/>
  <c r="W17" s="1"/>
  <c r="R16"/>
  <c r="W16" s="1"/>
  <c r="R15"/>
  <c r="W15" s="1"/>
  <c r="R14"/>
  <c r="W14" s="1"/>
  <c r="R13"/>
  <c r="W13" s="1"/>
  <c r="R12"/>
  <c r="W12" s="1"/>
  <c r="R11"/>
  <c r="W11" s="1"/>
  <c r="W10"/>
  <c r="R9"/>
  <c r="P26"/>
  <c r="P8"/>
  <c r="O27"/>
  <c r="O22"/>
  <c r="R22" s="1"/>
  <c r="P21"/>
  <c r="D26"/>
  <c r="D36" s="1"/>
  <c r="E26" i="76"/>
  <c r="E81" i="59"/>
  <c r="E58" i="76"/>
  <c r="E110"/>
  <c r="M101" i="58"/>
  <c r="M131"/>
  <c r="E436" i="59"/>
  <c r="F47" i="14"/>
  <c r="F399" i="16"/>
  <c r="Z37" i="5"/>
  <c r="W23" i="31" l="1"/>
  <c r="F30" i="85" s="1"/>
  <c r="F14"/>
  <c r="W22" i="31"/>
  <c r="D30" i="85" s="1"/>
  <c r="D14"/>
  <c r="R27" i="31"/>
  <c r="R26" s="1"/>
  <c r="G14" i="85" s="1"/>
  <c r="W9" i="31"/>
  <c r="R8"/>
  <c r="E14" i="85" s="1"/>
  <c r="W8" i="31"/>
  <c r="E30" i="85" s="1"/>
  <c r="P36" i="31"/>
  <c r="O15" i="58"/>
  <c r="O134"/>
  <c r="O92"/>
  <c r="R92" s="1"/>
  <c r="E427" i="59"/>
  <c r="E17" i="33" s="1"/>
  <c r="R15" i="58" l="1"/>
  <c r="S15" s="1"/>
  <c r="W21" i="31"/>
  <c r="I14" i="85"/>
  <c r="W27" i="31"/>
  <c r="W26" s="1"/>
  <c r="R134" i="58"/>
  <c r="D19" i="14" s="1"/>
  <c r="F185" i="9"/>
  <c r="D185"/>
  <c r="F19" i="14"/>
  <c r="G30" i="85" l="1"/>
  <c r="I30" s="1"/>
  <c r="W36" i="31"/>
  <c r="U356" i="16"/>
  <c r="U367"/>
  <c r="U373"/>
  <c r="U398"/>
  <c r="U394"/>
  <c r="U392"/>
  <c r="U391"/>
  <c r="U389"/>
  <c r="U388"/>
  <c r="U393"/>
  <c r="U387"/>
  <c r="U384"/>
  <c r="U382"/>
  <c r="U381"/>
  <c r="U383"/>
  <c r="U379"/>
  <c r="U377"/>
  <c r="U376"/>
  <c r="U371"/>
  <c r="U366"/>
  <c r="U370"/>
  <c r="U369"/>
  <c r="U368"/>
  <c r="U364"/>
  <c r="U353"/>
  <c r="U362"/>
  <c r="U361"/>
  <c r="U360"/>
  <c r="U359"/>
  <c r="U358"/>
  <c r="U355"/>
  <c r="U354"/>
  <c r="U351"/>
  <c r="Q376"/>
  <c r="Q394"/>
  <c r="Q361"/>
  <c r="Q367"/>
  <c r="Q388"/>
  <c r="Q366"/>
  <c r="Q373"/>
  <c r="Q363"/>
  <c r="Q386"/>
  <c r="Q370"/>
  <c r="Q399"/>
  <c r="Q355"/>
  <c r="Q389"/>
  <c r="Q365"/>
  <c r="Q377"/>
  <c r="Q380"/>
  <c r="Q390"/>
  <c r="Q385"/>
  <c r="Q395"/>
  <c r="Q369"/>
  <c r="Q398"/>
  <c r="Q392"/>
  <c r="Q391"/>
  <c r="Q393"/>
  <c r="Q387"/>
  <c r="Q384"/>
  <c r="Q382"/>
  <c r="Q379"/>
  <c r="Q371"/>
  <c r="Q364"/>
  <c r="Q362"/>
  <c r="Q383"/>
  <c r="Q381"/>
  <c r="Q360"/>
  <c r="Q359"/>
  <c r="Q356"/>
  <c r="Q358"/>
  <c r="Q354"/>
  <c r="Q353"/>
  <c r="Q352"/>
  <c r="Q351"/>
  <c r="U404" l="1"/>
  <c r="D62" i="40" l="1"/>
  <c r="K28" i="30" l="1"/>
  <c r="O28" s="1"/>
  <c r="H28"/>
  <c r="K27"/>
  <c r="O27" s="1"/>
  <c r="H27"/>
  <c r="K26"/>
  <c r="O26" s="1"/>
  <c r="H26"/>
  <c r="K25"/>
  <c r="O25" s="1"/>
  <c r="H25"/>
  <c r="K24"/>
  <c r="O24" s="1"/>
  <c r="H24"/>
  <c r="K22"/>
  <c r="O22" s="1"/>
  <c r="H22"/>
  <c r="K21"/>
  <c r="O21" s="1"/>
  <c r="H21"/>
  <c r="K23"/>
  <c r="O23" s="1"/>
  <c r="H23"/>
  <c r="H20"/>
  <c r="K20"/>
  <c r="O20" s="1"/>
  <c r="K19"/>
  <c r="O19" s="1"/>
  <c r="H19"/>
  <c r="K18"/>
  <c r="O18" s="1"/>
  <c r="H18"/>
  <c r="K17"/>
  <c r="O17" s="1"/>
  <c r="H17"/>
  <c r="K16"/>
  <c r="O16" s="1"/>
  <c r="H16"/>
  <c r="K15"/>
  <c r="O15" s="1"/>
  <c r="H15"/>
  <c r="K14"/>
  <c r="O14" s="1"/>
  <c r="H14"/>
  <c r="K13"/>
  <c r="O13" s="1"/>
  <c r="H13"/>
  <c r="K12"/>
  <c r="O12" s="1"/>
  <c r="H12"/>
  <c r="K11"/>
  <c r="O11" s="1"/>
  <c r="H11"/>
  <c r="K10"/>
  <c r="O10" s="1"/>
  <c r="H10"/>
  <c r="H9"/>
  <c r="H31" l="1"/>
  <c r="F391" i="16"/>
  <c r="F398"/>
  <c r="F396"/>
  <c r="F395"/>
  <c r="F394"/>
  <c r="F392"/>
  <c r="F390"/>
  <c r="F389"/>
  <c r="F388"/>
  <c r="F387"/>
  <c r="F385"/>
  <c r="F384"/>
  <c r="F382"/>
  <c r="F381"/>
  <c r="F380"/>
  <c r="F379"/>
  <c r="F378"/>
  <c r="F377"/>
  <c r="F374"/>
  <c r="F373"/>
  <c r="F371"/>
  <c r="F370"/>
  <c r="F369"/>
  <c r="F368"/>
  <c r="F367"/>
  <c r="F366"/>
  <c r="F365"/>
  <c r="F364"/>
  <c r="F362"/>
  <c r="F361"/>
  <c r="F360"/>
  <c r="F359"/>
  <c r="F358"/>
  <c r="F357"/>
  <c r="F356"/>
  <c r="F355"/>
  <c r="F354"/>
  <c r="F353"/>
  <c r="F351"/>
  <c r="H41" i="34"/>
  <c r="AF29" i="32"/>
  <c r="N57"/>
  <c r="R57" s="1"/>
  <c r="V57" s="1"/>
  <c r="V56" s="1"/>
  <c r="B57"/>
  <c r="B56" s="1"/>
  <c r="B26" i="31"/>
  <c r="N26"/>
  <c r="M99" i="58"/>
  <c r="J23" i="79" l="1"/>
  <c r="I23"/>
  <c r="G26"/>
  <c r="D48"/>
  <c r="D47"/>
  <c r="H26"/>
  <c r="B46"/>
  <c r="D369" i="80"/>
  <c r="B49" i="79" s="1"/>
  <c r="D337" i="80"/>
  <c r="B40" i="79" s="1"/>
  <c r="B35"/>
  <c r="F201" i="77"/>
  <c r="B36" i="34" s="1"/>
  <c r="D23" i="79"/>
  <c r="D25"/>
  <c r="C46" l="1"/>
  <c r="D46" s="1"/>
  <c r="C40"/>
  <c r="D40" s="1"/>
  <c r="C49"/>
  <c r="D49" s="1"/>
  <c r="C35"/>
  <c r="D35" s="1"/>
  <c r="D276" i="80"/>
  <c r="B36" i="79" s="1"/>
  <c r="D364" i="80"/>
  <c r="B41" i="79" s="1"/>
  <c r="D41" s="1"/>
  <c r="D42"/>
  <c r="D44"/>
  <c r="D45"/>
  <c r="D9"/>
  <c r="D14"/>
  <c r="D16"/>
  <c r="D18"/>
  <c r="D20"/>
  <c r="D37"/>
  <c r="D38"/>
  <c r="D10"/>
  <c r="B26"/>
  <c r="J12"/>
  <c r="D22"/>
  <c r="D8"/>
  <c r="J13"/>
  <c r="D11"/>
  <c r="D15"/>
  <c r="D17"/>
  <c r="D19"/>
  <c r="D21"/>
  <c r="C36" l="1"/>
  <c r="D36" s="1"/>
  <c r="E594" i="80"/>
  <c r="E596" s="1"/>
  <c r="C50" i="79"/>
  <c r="D284" i="80"/>
  <c r="H15" i="70"/>
  <c r="D8"/>
  <c r="D594" i="80" l="1"/>
  <c r="D596" s="1"/>
  <c r="B39" i="79"/>
  <c r="D39" s="1"/>
  <c r="L14" i="68"/>
  <c r="B50" i="79" l="1"/>
  <c r="B51" s="1"/>
  <c r="K33" i="30"/>
  <c r="O33" s="1"/>
  <c r="D65" i="9" s="1"/>
  <c r="M129" i="58"/>
  <c r="F261" i="16" l="1"/>
  <c r="F254"/>
  <c r="F247"/>
  <c r="F239"/>
  <c r="F231"/>
  <c r="E23" i="4" l="1"/>
  <c r="F23" s="1"/>
  <c r="D488" i="16" s="1"/>
  <c r="F25" i="79" l="1"/>
  <c r="F24"/>
  <c r="F463" i="16" l="1"/>
  <c r="F23" i="81"/>
  <c r="I24" i="79"/>
  <c r="J24"/>
  <c r="G24" i="31"/>
  <c r="L24" l="1"/>
  <c r="Y24" s="1"/>
  <c r="C11" i="85"/>
  <c r="F25" i="32"/>
  <c r="X11" i="5"/>
  <c r="F472" i="16"/>
  <c r="C29" i="85" l="1"/>
  <c r="C10"/>
  <c r="B50" i="6"/>
  <c r="B52" s="1"/>
  <c r="B58" s="1"/>
  <c r="D43"/>
  <c r="D42"/>
  <c r="C9" i="31"/>
  <c r="C22"/>
  <c r="C28" i="85" l="1"/>
  <c r="D33" i="12"/>
  <c r="D32"/>
  <c r="D31"/>
  <c r="E47"/>
  <c r="C177"/>
  <c r="C176"/>
  <c r="C175"/>
  <c r="C174"/>
  <c r="C178" l="1"/>
  <c r="O135" i="58"/>
  <c r="L53"/>
  <c r="M53"/>
  <c r="N53"/>
  <c r="O51"/>
  <c r="R51" s="1"/>
  <c r="I51"/>
  <c r="F47" i="16"/>
  <c r="R135" i="58" l="1"/>
  <c r="F18" i="14"/>
  <c r="D18"/>
  <c r="H13" i="5"/>
  <c r="D35" i="78"/>
  <c r="D61"/>
  <c r="D58"/>
  <c r="D59" s="1"/>
  <c r="D64"/>
  <c r="D83"/>
  <c r="D84" s="1"/>
  <c r="D80"/>
  <c r="D81" s="1"/>
  <c r="D68"/>
  <c r="D69"/>
  <c r="D70"/>
  <c r="D71"/>
  <c r="D74"/>
  <c r="D73"/>
  <c r="D72"/>
  <c r="D77"/>
  <c r="D78" s="1"/>
  <c r="D42"/>
  <c r="D43" s="1"/>
  <c r="D45"/>
  <c r="D46" s="1"/>
  <c r="D39"/>
  <c r="D40" s="1"/>
  <c r="D25"/>
  <c r="D63"/>
  <c r="D62"/>
  <c r="D55"/>
  <c r="D56" s="1"/>
  <c r="D22"/>
  <c r="D23"/>
  <c r="D24"/>
  <c r="D49"/>
  <c r="D50" s="1"/>
  <c r="D52"/>
  <c r="D53" s="1"/>
  <c r="D34"/>
  <c r="D33"/>
  <c r="D21"/>
  <c r="D32"/>
  <c r="D20"/>
  <c r="D19"/>
  <c r="D18"/>
  <c r="D11"/>
  <c r="D10"/>
  <c r="D9"/>
  <c r="D8"/>
  <c r="F22" i="79"/>
  <c r="E81" i="76"/>
  <c r="F376" i="16" s="1"/>
  <c r="Z13" i="5" l="1"/>
  <c r="F22" i="81"/>
  <c r="Z44" i="5"/>
  <c r="F473" i="16"/>
  <c r="D14" i="78"/>
  <c r="D75"/>
  <c r="D65"/>
  <c r="D36"/>
  <c r="D26"/>
  <c r="F110" i="16" l="1"/>
  <c r="F160" i="40" l="1"/>
  <c r="F147"/>
  <c r="G86" i="55"/>
  <c r="G70"/>
  <c r="G67"/>
  <c r="G46"/>
  <c r="G37"/>
  <c r="G26"/>
  <c r="F86" i="14"/>
  <c r="F73"/>
  <c r="F60"/>
  <c r="E202" i="12"/>
  <c r="E207" s="1"/>
  <c r="E179"/>
  <c r="E170"/>
  <c r="E160"/>
  <c r="E148"/>
  <c r="E128"/>
  <c r="E177"/>
  <c r="E175"/>
  <c r="E176"/>
  <c r="E110"/>
  <c r="C32" s="1"/>
  <c r="E101"/>
  <c r="C31" s="1"/>
  <c r="E138" l="1"/>
  <c r="C34" s="1"/>
  <c r="E119"/>
  <c r="C33" s="1"/>
  <c r="E174"/>
  <c r="E178"/>
  <c r="E41"/>
  <c r="E37"/>
  <c r="E36"/>
  <c r="E35"/>
  <c r="D30"/>
  <c r="D38" s="1"/>
  <c r="C213" s="1"/>
  <c r="C218" s="1"/>
  <c r="F66" i="11"/>
  <c r="F18"/>
  <c r="F122" i="16"/>
  <c r="D118" s="1"/>
  <c r="F131"/>
  <c r="F173"/>
  <c r="F268"/>
  <c r="F504"/>
  <c r="F644"/>
  <c r="F635"/>
  <c r="F626"/>
  <c r="F617"/>
  <c r="F606"/>
  <c r="E171" i="12" l="1"/>
  <c r="F71" i="11"/>
  <c r="E180" i="12"/>
  <c r="E184" s="1"/>
  <c r="F579" i="16"/>
  <c r="F582" s="1"/>
  <c r="F538"/>
  <c r="F317"/>
  <c r="F320" s="1"/>
  <c r="H42" i="5" s="1"/>
  <c r="Z42" s="1"/>
  <c r="E201" i="77"/>
  <c r="F283" i="16"/>
  <c r="F282"/>
  <c r="F279"/>
  <c r="F278"/>
  <c r="F281"/>
  <c r="F280"/>
  <c r="F276"/>
  <c r="E19" i="77"/>
  <c r="E38"/>
  <c r="E54"/>
  <c r="E64"/>
  <c r="E81"/>
  <c r="E96"/>
  <c r="E106"/>
  <c r="E120"/>
  <c r="E137"/>
  <c r="E147"/>
  <c r="E155"/>
  <c r="E168"/>
  <c r="E186"/>
  <c r="E188" l="1"/>
  <c r="F476" i="16"/>
  <c r="X44" i="5"/>
  <c r="F343" i="16"/>
  <c r="H46" i="5" s="1"/>
  <c r="F465" i="16"/>
  <c r="F285"/>
  <c r="H35" i="5" s="1"/>
  <c r="Z35" s="1"/>
  <c r="F222" i="16"/>
  <c r="F220" l="1"/>
  <c r="F221"/>
  <c r="F216" l="1"/>
  <c r="F223"/>
  <c r="F219" l="1"/>
  <c r="F218" s="1"/>
  <c r="F227" s="1"/>
  <c r="H34" i="5" s="1"/>
  <c r="Z34" l="1"/>
  <c r="F24" i="81"/>
  <c r="F46" i="16"/>
  <c r="H12" i="5" s="1"/>
  <c r="Z12" s="1"/>
  <c r="F14" i="79"/>
  <c r="J14" l="1"/>
  <c r="I14"/>
  <c r="Z21" i="5" l="1"/>
  <c r="F100" i="16" l="1"/>
  <c r="F103" s="1"/>
  <c r="F72"/>
  <c r="F80"/>
  <c r="F79"/>
  <c r="F71"/>
  <c r="F70"/>
  <c r="F68"/>
  <c r="F13" i="81"/>
  <c r="F14"/>
  <c r="F202" i="16"/>
  <c r="F11" i="81"/>
  <c r="F38" i="16"/>
  <c r="F13"/>
  <c r="F12"/>
  <c r="F11"/>
  <c r="F10"/>
  <c r="F25" i="9"/>
  <c r="J9" i="30"/>
  <c r="K9" s="1"/>
  <c r="O9" s="1"/>
  <c r="O31" s="1"/>
  <c r="D64" i="9" s="1"/>
  <c r="O36" i="30" l="1"/>
  <c r="D67" i="9"/>
  <c r="F199" i="16"/>
  <c r="Z26" i="5"/>
  <c r="F75" i="16"/>
  <c r="H20" i="5" s="1"/>
  <c r="Z20" s="1"/>
  <c r="F16" i="16"/>
  <c r="F66"/>
  <c r="H19" i="5" s="1"/>
  <c r="Z19" s="1"/>
  <c r="D71" i="9" l="1"/>
  <c r="C14" i="4" s="1"/>
  <c r="F209" i="16"/>
  <c r="F16" i="7" s="1"/>
  <c r="H27" i="5"/>
  <c r="Z27" s="1"/>
  <c r="F25" i="81"/>
  <c r="F466" i="16"/>
  <c r="H10" i="5"/>
  <c r="F10" i="81" s="1"/>
  <c r="F15"/>
  <c r="F83" i="16"/>
  <c r="X123" s="1"/>
  <c r="O142" i="58"/>
  <c r="N141"/>
  <c r="M141"/>
  <c r="O140"/>
  <c r="O138"/>
  <c r="N137"/>
  <c r="M137"/>
  <c r="O133"/>
  <c r="R133" s="1"/>
  <c r="O132"/>
  <c r="R132" s="1"/>
  <c r="O131"/>
  <c r="R131" s="1"/>
  <c r="N121"/>
  <c r="M121"/>
  <c r="O120"/>
  <c r="O116"/>
  <c r="N115"/>
  <c r="M115"/>
  <c r="O114"/>
  <c r="O111"/>
  <c r="N110"/>
  <c r="M110"/>
  <c r="O109"/>
  <c r="O106"/>
  <c r="N105"/>
  <c r="M105"/>
  <c r="O104"/>
  <c r="O96"/>
  <c r="N95"/>
  <c r="M95"/>
  <c r="O93"/>
  <c r="R93" s="1"/>
  <c r="O91"/>
  <c r="R91" s="1"/>
  <c r="O90"/>
  <c r="R90" s="1"/>
  <c r="O65"/>
  <c r="R65" s="1"/>
  <c r="N61"/>
  <c r="M61"/>
  <c r="O60"/>
  <c r="O52"/>
  <c r="N48"/>
  <c r="M48"/>
  <c r="O33"/>
  <c r="O32"/>
  <c r="N31"/>
  <c r="M31"/>
  <c r="O30"/>
  <c r="O28"/>
  <c r="O26"/>
  <c r="N25"/>
  <c r="M25"/>
  <c r="O24"/>
  <c r="O19"/>
  <c r="N18"/>
  <c r="M18"/>
  <c r="N7"/>
  <c r="M7"/>
  <c r="O6"/>
  <c r="F5"/>
  <c r="I5" s="1"/>
  <c r="G7"/>
  <c r="H7"/>
  <c r="J7"/>
  <c r="K7"/>
  <c r="F9"/>
  <c r="I9" s="1"/>
  <c r="L9" s="1"/>
  <c r="O9" s="1"/>
  <c r="R9" s="1"/>
  <c r="F10"/>
  <c r="I10" s="1"/>
  <c r="L10" s="1"/>
  <c r="O10" s="1"/>
  <c r="R10" s="1"/>
  <c r="S10" s="1"/>
  <c r="F11"/>
  <c r="I11" s="1"/>
  <c r="L11" s="1"/>
  <c r="O11" s="1"/>
  <c r="R11" s="1"/>
  <c r="S11" s="1"/>
  <c r="F12"/>
  <c r="I12" s="1"/>
  <c r="K12"/>
  <c r="K18" s="1"/>
  <c r="F13"/>
  <c r="I13" s="1"/>
  <c r="I14"/>
  <c r="L14" s="1"/>
  <c r="O14" s="1"/>
  <c r="R14" s="1"/>
  <c r="L16"/>
  <c r="O16" s="1"/>
  <c r="R16" s="1"/>
  <c r="S16" s="1"/>
  <c r="G18"/>
  <c r="H18"/>
  <c r="J18"/>
  <c r="I20"/>
  <c r="L20" s="1"/>
  <c r="O20" s="1"/>
  <c r="R20" s="1"/>
  <c r="L21"/>
  <c r="O21" s="1"/>
  <c r="R21" s="1"/>
  <c r="L22"/>
  <c r="I23"/>
  <c r="L23" s="1"/>
  <c r="O23" s="1"/>
  <c r="F25"/>
  <c r="G25"/>
  <c r="H25"/>
  <c r="H27" s="1"/>
  <c r="J25"/>
  <c r="K25"/>
  <c r="F29"/>
  <c r="I29" s="1"/>
  <c r="J29"/>
  <c r="K29"/>
  <c r="K31" s="1"/>
  <c r="G31"/>
  <c r="H31"/>
  <c r="J31"/>
  <c r="I32"/>
  <c r="I34"/>
  <c r="L34" s="1"/>
  <c r="O34" s="1"/>
  <c r="R34" s="1"/>
  <c r="I35"/>
  <c r="L35" s="1"/>
  <c r="O35" s="1"/>
  <c r="R35" s="1"/>
  <c r="I36"/>
  <c r="L36" s="1"/>
  <c r="O36" s="1"/>
  <c r="R36" s="1"/>
  <c r="I37"/>
  <c r="L37" s="1"/>
  <c r="O37" s="1"/>
  <c r="R37" s="1"/>
  <c r="I38"/>
  <c r="L38" s="1"/>
  <c r="O38" s="1"/>
  <c r="R38" s="1"/>
  <c r="I39"/>
  <c r="L39" s="1"/>
  <c r="O39" s="1"/>
  <c r="R39" s="1"/>
  <c r="I40"/>
  <c r="L40" s="1"/>
  <c r="O40" s="1"/>
  <c r="R40" s="1"/>
  <c r="I41"/>
  <c r="L41" s="1"/>
  <c r="O41" s="1"/>
  <c r="R41" s="1"/>
  <c r="I42"/>
  <c r="L42" s="1"/>
  <c r="O42" s="1"/>
  <c r="R42" s="1"/>
  <c r="I43"/>
  <c r="L43" s="1"/>
  <c r="O43" s="1"/>
  <c r="R43" s="1"/>
  <c r="L44"/>
  <c r="O44" s="1"/>
  <c r="R44" s="1"/>
  <c r="I46"/>
  <c r="L46" s="1"/>
  <c r="O46" s="1"/>
  <c r="R46" s="1"/>
  <c r="F48"/>
  <c r="G48"/>
  <c r="H48"/>
  <c r="J48"/>
  <c r="K48"/>
  <c r="I50"/>
  <c r="O50" s="1"/>
  <c r="F53"/>
  <c r="G53"/>
  <c r="H53"/>
  <c r="J53"/>
  <c r="K53"/>
  <c r="L55"/>
  <c r="I56"/>
  <c r="L56" s="1"/>
  <c r="O56" s="1"/>
  <c r="R56" s="1"/>
  <c r="I57"/>
  <c r="L57" s="1"/>
  <c r="O57" s="1"/>
  <c r="R57" s="1"/>
  <c r="I58"/>
  <c r="L58" s="1"/>
  <c r="O58" s="1"/>
  <c r="R58" s="1"/>
  <c r="I59"/>
  <c r="F61"/>
  <c r="G61"/>
  <c r="H61"/>
  <c r="J61"/>
  <c r="K61"/>
  <c r="I63"/>
  <c r="L63" s="1"/>
  <c r="O63" s="1"/>
  <c r="R63" s="1"/>
  <c r="I64"/>
  <c r="L64" s="1"/>
  <c r="O64" s="1"/>
  <c r="R64" s="1"/>
  <c r="I66"/>
  <c r="L66" s="1"/>
  <c r="O66" s="1"/>
  <c r="R66" s="1"/>
  <c r="I67"/>
  <c r="L67" s="1"/>
  <c r="O67" s="1"/>
  <c r="R67" s="1"/>
  <c r="I68"/>
  <c r="L68" s="1"/>
  <c r="O68" s="1"/>
  <c r="R68" s="1"/>
  <c r="I69"/>
  <c r="L69" s="1"/>
  <c r="O69" s="1"/>
  <c r="R69" s="1"/>
  <c r="I70"/>
  <c r="L70" s="1"/>
  <c r="I71"/>
  <c r="L71" s="1"/>
  <c r="I72"/>
  <c r="L72" s="1"/>
  <c r="O72" s="1"/>
  <c r="R72" s="1"/>
  <c r="I73"/>
  <c r="L73" s="1"/>
  <c r="O73" s="1"/>
  <c r="R73" s="1"/>
  <c r="I74"/>
  <c r="L74" s="1"/>
  <c r="O74" s="1"/>
  <c r="R74" s="1"/>
  <c r="I75"/>
  <c r="L75" s="1"/>
  <c r="O75" s="1"/>
  <c r="R75" s="1"/>
  <c r="I76"/>
  <c r="L76" s="1"/>
  <c r="O76" s="1"/>
  <c r="R76" s="1"/>
  <c r="I77"/>
  <c r="L77" s="1"/>
  <c r="O77" s="1"/>
  <c r="R77" s="1"/>
  <c r="I78"/>
  <c r="L78" s="1"/>
  <c r="O78" s="1"/>
  <c r="R78" s="1"/>
  <c r="I79"/>
  <c r="L79" s="1"/>
  <c r="O79" s="1"/>
  <c r="R79" s="1"/>
  <c r="I80"/>
  <c r="L80" s="1"/>
  <c r="O80" s="1"/>
  <c r="R80" s="1"/>
  <c r="L81"/>
  <c r="O81" s="1"/>
  <c r="R81" s="1"/>
  <c r="L83"/>
  <c r="O83" s="1"/>
  <c r="R83" s="1"/>
  <c r="L88"/>
  <c r="O88" s="1"/>
  <c r="R88" s="1"/>
  <c r="F95"/>
  <c r="G95"/>
  <c r="H95"/>
  <c r="J95"/>
  <c r="K95"/>
  <c r="L98"/>
  <c r="O98" s="1"/>
  <c r="I99"/>
  <c r="J99"/>
  <c r="J105" s="1"/>
  <c r="I100"/>
  <c r="I101"/>
  <c r="L102"/>
  <c r="O102" s="1"/>
  <c r="R102" s="1"/>
  <c r="L103"/>
  <c r="O103" s="1"/>
  <c r="R103" s="1"/>
  <c r="G105"/>
  <c r="H105"/>
  <c r="K105"/>
  <c r="I107"/>
  <c r="L107" s="1"/>
  <c r="O107" s="1"/>
  <c r="R107" s="1"/>
  <c r="F108"/>
  <c r="I108" s="1"/>
  <c r="O108" s="1"/>
  <c r="G110"/>
  <c r="H110"/>
  <c r="J110"/>
  <c r="K110"/>
  <c r="I112"/>
  <c r="L112" s="1"/>
  <c r="L113"/>
  <c r="O113" s="1"/>
  <c r="R113" s="1"/>
  <c r="F115"/>
  <c r="G115"/>
  <c r="H115"/>
  <c r="J115"/>
  <c r="K115"/>
  <c r="I117"/>
  <c r="I118"/>
  <c r="L118" s="1"/>
  <c r="O118" s="1"/>
  <c r="R118" s="1"/>
  <c r="I119"/>
  <c r="L119" s="1"/>
  <c r="O119" s="1"/>
  <c r="R119" s="1"/>
  <c r="G121"/>
  <c r="H121"/>
  <c r="J121"/>
  <c r="K121"/>
  <c r="I123"/>
  <c r="L123" s="1"/>
  <c r="O123" s="1"/>
  <c r="I124"/>
  <c r="I125"/>
  <c r="L125" s="1"/>
  <c r="O125" s="1"/>
  <c r="R125" s="1"/>
  <c r="I126"/>
  <c r="L126" s="1"/>
  <c r="I127"/>
  <c r="L127" s="1"/>
  <c r="O127" s="1"/>
  <c r="R127" s="1"/>
  <c r="I128"/>
  <c r="L128" s="1"/>
  <c r="O128" s="1"/>
  <c r="R128" s="1"/>
  <c r="I129"/>
  <c r="L129" s="1"/>
  <c r="O129" s="1"/>
  <c r="R129" s="1"/>
  <c r="L130"/>
  <c r="O130" s="1"/>
  <c r="R130" s="1"/>
  <c r="F137"/>
  <c r="G137"/>
  <c r="H137"/>
  <c r="J137"/>
  <c r="K137"/>
  <c r="I139"/>
  <c r="L139" s="1"/>
  <c r="O139" s="1"/>
  <c r="F141"/>
  <c r="G141"/>
  <c r="H141"/>
  <c r="J141"/>
  <c r="K141"/>
  <c r="O126" l="1"/>
  <c r="F16" i="14" s="1"/>
  <c r="R23" i="58"/>
  <c r="H43" i="5"/>
  <c r="Z43" s="1"/>
  <c r="O71" i="58"/>
  <c r="F177" i="9" s="1"/>
  <c r="C13" i="4"/>
  <c r="S9" i="58"/>
  <c r="R48"/>
  <c r="O22"/>
  <c r="R22" s="1"/>
  <c r="R25" s="1"/>
  <c r="R139"/>
  <c r="F35" i="11"/>
  <c r="D33" s="1"/>
  <c r="R108" i="58"/>
  <c r="R50"/>
  <c r="R53" s="1"/>
  <c r="R123"/>
  <c r="D200" i="9"/>
  <c r="F200"/>
  <c r="D11" i="14"/>
  <c r="F11"/>
  <c r="D30" i="11"/>
  <c r="F30"/>
  <c r="F27" i="81"/>
  <c r="F20" s="1"/>
  <c r="F471" i="16"/>
  <c r="F10" i="14"/>
  <c r="D10"/>
  <c r="F17"/>
  <c r="D17"/>
  <c r="F15"/>
  <c r="D15"/>
  <c r="F13"/>
  <c r="D13"/>
  <c r="F12"/>
  <c r="D12"/>
  <c r="F82" i="11"/>
  <c r="F179" i="9"/>
  <c r="D179"/>
  <c r="F174"/>
  <c r="D174"/>
  <c r="F199"/>
  <c r="D199"/>
  <c r="F186"/>
  <c r="D186"/>
  <c r="F197"/>
  <c r="D197"/>
  <c r="F196"/>
  <c r="D196"/>
  <c r="F180"/>
  <c r="D180"/>
  <c r="F178"/>
  <c r="D178"/>
  <c r="F170"/>
  <c r="D170"/>
  <c r="F172"/>
  <c r="D172"/>
  <c r="F198"/>
  <c r="D198"/>
  <c r="F201"/>
  <c r="D201"/>
  <c r="F169"/>
  <c r="D169"/>
  <c r="F168"/>
  <c r="D168"/>
  <c r="F171"/>
  <c r="D171"/>
  <c r="J97" i="58"/>
  <c r="F121"/>
  <c r="G97"/>
  <c r="F110"/>
  <c r="K97"/>
  <c r="H97"/>
  <c r="H144" s="1"/>
  <c r="F97"/>
  <c r="O53"/>
  <c r="L12"/>
  <c r="O12" s="1"/>
  <c r="R12" s="1"/>
  <c r="O112"/>
  <c r="R112" s="1"/>
  <c r="R115" s="1"/>
  <c r="F105"/>
  <c r="J27"/>
  <c r="G27"/>
  <c r="Z10" i="5"/>
  <c r="F14" i="14"/>
  <c r="L101" i="58"/>
  <c r="O101" s="1"/>
  <c r="R101" s="1"/>
  <c r="S101" s="1"/>
  <c r="L59"/>
  <c r="L61" s="1"/>
  <c r="L100"/>
  <c r="O100" s="1"/>
  <c r="O70"/>
  <c r="L29"/>
  <c r="O29" s="1"/>
  <c r="O141"/>
  <c r="F127" i="14" s="1"/>
  <c r="E42" i="4" s="1"/>
  <c r="I141" i="58"/>
  <c r="I115"/>
  <c r="I53"/>
  <c r="O48"/>
  <c r="O25"/>
  <c r="M27"/>
  <c r="N97"/>
  <c r="L99"/>
  <c r="O99" s="1"/>
  <c r="R99" s="1"/>
  <c r="I61"/>
  <c r="F31"/>
  <c r="K27"/>
  <c r="I25"/>
  <c r="N27"/>
  <c r="M97"/>
  <c r="M144" s="1"/>
  <c r="L124"/>
  <c r="O124" s="1"/>
  <c r="I137"/>
  <c r="L117"/>
  <c r="O117" s="1"/>
  <c r="R117" s="1"/>
  <c r="R121" s="1"/>
  <c r="I121"/>
  <c r="L115"/>
  <c r="O110"/>
  <c r="I110"/>
  <c r="L31"/>
  <c r="L25"/>
  <c r="L13"/>
  <c r="O13" s="1"/>
  <c r="R13" s="1"/>
  <c r="I18"/>
  <c r="L5"/>
  <c r="O5" s="1"/>
  <c r="O7" s="1"/>
  <c r="R7" s="1"/>
  <c r="I7"/>
  <c r="L141"/>
  <c r="L95"/>
  <c r="L48"/>
  <c r="I105"/>
  <c r="I95"/>
  <c r="I48"/>
  <c r="I31"/>
  <c r="F18"/>
  <c r="F27" s="1"/>
  <c r="F7"/>
  <c r="R71" l="1"/>
  <c r="D177" i="9" s="1"/>
  <c r="R126" i="58"/>
  <c r="D16" i="14" s="1"/>
  <c r="R100" i="58"/>
  <c r="S100" s="1"/>
  <c r="R110"/>
  <c r="R18"/>
  <c r="R27" s="1"/>
  <c r="D14" i="14"/>
  <c r="R141" i="58"/>
  <c r="D127" i="14" s="1"/>
  <c r="C42" i="4" s="1"/>
  <c r="F42" s="1"/>
  <c r="D491" i="16" s="1"/>
  <c r="F38" i="11"/>
  <c r="E33" i="4" s="1"/>
  <c r="R105" i="58"/>
  <c r="R29"/>
  <c r="R31" s="1"/>
  <c r="F21" i="14"/>
  <c r="F23" s="1"/>
  <c r="E40" i="4" s="1"/>
  <c r="R124" i="58"/>
  <c r="R137" s="1"/>
  <c r="F173" i="9"/>
  <c r="R70" i="58"/>
  <c r="F203" i="9"/>
  <c r="E22" i="4" s="1"/>
  <c r="D38" i="11"/>
  <c r="C33" i="4" s="1"/>
  <c r="D203" i="9"/>
  <c r="G144" i="58"/>
  <c r="F187" i="9"/>
  <c r="O121" i="58"/>
  <c r="F78" i="11"/>
  <c r="O95" i="58"/>
  <c r="J144"/>
  <c r="O115"/>
  <c r="K144"/>
  <c r="O18"/>
  <c r="O27" s="1"/>
  <c r="O31"/>
  <c r="O59"/>
  <c r="R59" s="1"/>
  <c r="R61" s="1"/>
  <c r="F51" i="7"/>
  <c r="D50" s="1"/>
  <c r="H145" i="58"/>
  <c r="O137"/>
  <c r="N144"/>
  <c r="I27"/>
  <c r="L105"/>
  <c r="I97"/>
  <c r="L18"/>
  <c r="L27" s="1"/>
  <c r="O105"/>
  <c r="L97"/>
  <c r="L7"/>
  <c r="L110"/>
  <c r="L121"/>
  <c r="L137"/>
  <c r="F144"/>
  <c r="R95" l="1"/>
  <c r="D173" i="9"/>
  <c r="F33" i="4"/>
  <c r="D490" i="16" s="1"/>
  <c r="F84" i="11"/>
  <c r="E37" i="4" s="1"/>
  <c r="H78" i="11"/>
  <c r="D51" i="7"/>
  <c r="D54" s="1"/>
  <c r="R97" i="58"/>
  <c r="R144" s="1"/>
  <c r="S99"/>
  <c r="S103" s="1"/>
  <c r="D189" i="9"/>
  <c r="C21" i="4" s="1"/>
  <c r="D21" i="14"/>
  <c r="D23" s="1"/>
  <c r="C40" i="4" s="1"/>
  <c r="F40" s="1"/>
  <c r="D483" i="16" s="1"/>
  <c r="C22" i="4"/>
  <c r="F22" s="1"/>
  <c r="D489" i="16" s="1"/>
  <c r="D187" i="9"/>
  <c r="I144" i="58"/>
  <c r="F189" i="9"/>
  <c r="F191" s="1"/>
  <c r="O61" i="58"/>
  <c r="O97" s="1"/>
  <c r="F209" i="9" s="1"/>
  <c r="E20" i="4"/>
  <c r="L144" i="58"/>
  <c r="D77" i="11" l="1"/>
  <c r="D84" s="1"/>
  <c r="C37" i="4" s="1"/>
  <c r="F37" s="1"/>
  <c r="D209" i="9"/>
  <c r="D191"/>
  <c r="C20" i="4"/>
  <c r="F20" s="1"/>
  <c r="D208" i="9"/>
  <c r="O144" i="58"/>
  <c r="E21" i="4"/>
  <c r="F21" s="1"/>
  <c r="F208" i="9"/>
  <c r="F210" s="1"/>
  <c r="E185" i="76"/>
  <c r="F404" i="16" s="1"/>
  <c r="H47" i="5" s="1"/>
  <c r="F48" i="79"/>
  <c r="F47"/>
  <c r="G47" s="1"/>
  <c r="Z46" i="5"/>
  <c r="Z45"/>
  <c r="F42" i="79"/>
  <c r="Z41" i="5"/>
  <c r="F38" i="79"/>
  <c r="I38" s="1"/>
  <c r="F37"/>
  <c r="F36"/>
  <c r="F35"/>
  <c r="F21"/>
  <c r="F20"/>
  <c r="F17"/>
  <c r="F18"/>
  <c r="F16"/>
  <c r="F15"/>
  <c r="F10"/>
  <c r="F9"/>
  <c r="F8"/>
  <c r="O70" i="33"/>
  <c r="M68"/>
  <c r="O66"/>
  <c r="O60"/>
  <c r="O41"/>
  <c r="O40"/>
  <c r="M39"/>
  <c r="K39"/>
  <c r="K36"/>
  <c r="O27"/>
  <c r="K26"/>
  <c r="K20"/>
  <c r="E555" i="59"/>
  <c r="E65" i="33" s="1"/>
  <c r="E522" i="59"/>
  <c r="C65" i="33" s="1"/>
  <c r="E517" i="59"/>
  <c r="E33" i="33" s="1"/>
  <c r="G33" s="1"/>
  <c r="E512" i="59"/>
  <c r="E507"/>
  <c r="E37" i="33" s="1"/>
  <c r="E503" i="59"/>
  <c r="E24" i="33" s="1"/>
  <c r="G24" s="1"/>
  <c r="E498" i="59"/>
  <c r="E23" i="33" s="1"/>
  <c r="G23" s="1"/>
  <c r="E485" i="59"/>
  <c r="E22" i="33" s="1"/>
  <c r="G22" s="1"/>
  <c r="E477" i="59"/>
  <c r="E468"/>
  <c r="E73" i="33" s="1"/>
  <c r="E72" s="1"/>
  <c r="E440" i="59"/>
  <c r="C73" i="33" s="1"/>
  <c r="E420" i="59"/>
  <c r="E413"/>
  <c r="E64" i="33" s="1"/>
  <c r="E380" i="59"/>
  <c r="C64" i="33" s="1"/>
  <c r="E370" i="59"/>
  <c r="E21" i="33" s="1"/>
  <c r="E339" i="59"/>
  <c r="E61" i="33" s="1"/>
  <c r="E58" s="1"/>
  <c r="E315" i="59"/>
  <c r="C61" i="33" s="1"/>
  <c r="E312" i="59"/>
  <c r="E34" i="33" s="1"/>
  <c r="E302" i="59"/>
  <c r="C34" i="33" s="1"/>
  <c r="E298" i="59"/>
  <c r="E56" i="33" s="1"/>
  <c r="E276" i="59"/>
  <c r="E28" i="33" s="1"/>
  <c r="E270" i="59"/>
  <c r="E16" i="33" s="1"/>
  <c r="E248" i="59"/>
  <c r="C16" i="33" s="1"/>
  <c r="E245" i="59"/>
  <c r="E231"/>
  <c r="E189"/>
  <c r="C14" i="33" s="1"/>
  <c r="E182" i="59"/>
  <c r="E166"/>
  <c r="E31" i="33" s="1"/>
  <c r="E149" i="59"/>
  <c r="C31" i="33" s="1"/>
  <c r="E146" i="59"/>
  <c r="E15" i="33" s="1"/>
  <c r="G15" s="1"/>
  <c r="E135" i="59"/>
  <c r="E110"/>
  <c r="E90"/>
  <c r="E64"/>
  <c r="D210" i="9" l="1"/>
  <c r="O39" i="33"/>
  <c r="E63"/>
  <c r="E11"/>
  <c r="E10" s="1"/>
  <c r="E18"/>
  <c r="G18" s="1"/>
  <c r="G65"/>
  <c r="E32"/>
  <c r="G32" s="1"/>
  <c r="G31"/>
  <c r="C30"/>
  <c r="E26"/>
  <c r="G28"/>
  <c r="G26" s="1"/>
  <c r="G61"/>
  <c r="G58" s="1"/>
  <c r="C58"/>
  <c r="G21"/>
  <c r="G20" s="1"/>
  <c r="E20"/>
  <c r="C72"/>
  <c r="G73"/>
  <c r="G72" s="1"/>
  <c r="E36"/>
  <c r="G37"/>
  <c r="G36" s="1"/>
  <c r="E14"/>
  <c r="G16"/>
  <c r="G34"/>
  <c r="E55"/>
  <c r="G56"/>
  <c r="G55" s="1"/>
  <c r="C63"/>
  <c r="G64"/>
  <c r="D86" i="78"/>
  <c r="C17" i="33"/>
  <c r="G17" s="1"/>
  <c r="Z47" i="5"/>
  <c r="Z38"/>
  <c r="H49"/>
  <c r="K55" i="33"/>
  <c r="M10"/>
  <c r="O74"/>
  <c r="F462" i="16"/>
  <c r="X38" i="5"/>
  <c r="I35" i="79"/>
  <c r="F45"/>
  <c r="F40"/>
  <c r="F44"/>
  <c r="F41"/>
  <c r="J41" s="1"/>
  <c r="F311" i="16"/>
  <c r="H53" i="5" s="1"/>
  <c r="Z53" s="1"/>
  <c r="F39" i="79"/>
  <c r="I15"/>
  <c r="J15"/>
  <c r="J18"/>
  <c r="I18"/>
  <c r="J20"/>
  <c r="I20"/>
  <c r="I21"/>
  <c r="J21"/>
  <c r="J36"/>
  <c r="I36"/>
  <c r="I8"/>
  <c r="J8"/>
  <c r="J9"/>
  <c r="I9"/>
  <c r="J16"/>
  <c r="I16"/>
  <c r="I17"/>
  <c r="J17"/>
  <c r="J35"/>
  <c r="J37"/>
  <c r="I37"/>
  <c r="I42"/>
  <c r="J42"/>
  <c r="H42"/>
  <c r="O33" i="33"/>
  <c r="E14" i="59"/>
  <c r="F48" i="16"/>
  <c r="H14" i="5" s="1"/>
  <c r="O21" i="33"/>
  <c r="O23"/>
  <c r="O28"/>
  <c r="O26" s="1"/>
  <c r="O32"/>
  <c r="F11" i="79"/>
  <c r="F19"/>
  <c r="O15" i="33"/>
  <c r="O22"/>
  <c r="O24"/>
  <c r="O37"/>
  <c r="O36" s="1"/>
  <c r="M55"/>
  <c r="K58"/>
  <c r="M58"/>
  <c r="F46" i="79"/>
  <c r="M72" i="33"/>
  <c r="K72"/>
  <c r="O69"/>
  <c r="O68" s="1"/>
  <c r="O59"/>
  <c r="K68"/>
  <c r="G63" l="1"/>
  <c r="E13"/>
  <c r="G14"/>
  <c r="C13"/>
  <c r="G30"/>
  <c r="E30"/>
  <c r="E76" s="1"/>
  <c r="E78" s="1"/>
  <c r="G13"/>
  <c r="E556" i="59"/>
  <c r="C11" i="33"/>
  <c r="D87" i="78"/>
  <c r="D88" s="1"/>
  <c r="X47" i="5"/>
  <c r="Z14"/>
  <c r="H23"/>
  <c r="F11" i="7" s="1"/>
  <c r="H55" i="5"/>
  <c r="Z49"/>
  <c r="I44" i="79"/>
  <c r="I40"/>
  <c r="K10" i="33"/>
  <c r="K63"/>
  <c r="O17"/>
  <c r="J44" i="79"/>
  <c r="I41"/>
  <c r="O14" i="33"/>
  <c r="I39" i="79"/>
  <c r="I45"/>
  <c r="J40"/>
  <c r="H39"/>
  <c r="J39"/>
  <c r="F17" i="7"/>
  <c r="F468" i="16" s="1"/>
  <c r="E50" i="79"/>
  <c r="M26" i="33"/>
  <c r="O64"/>
  <c r="F49" i="79"/>
  <c r="F50" s="1"/>
  <c r="I19"/>
  <c r="J19"/>
  <c r="I11"/>
  <c r="J11"/>
  <c r="F26"/>
  <c r="I46"/>
  <c r="J46"/>
  <c r="O34" i="33"/>
  <c r="O20"/>
  <c r="K30"/>
  <c r="O16"/>
  <c r="K13"/>
  <c r="M30"/>
  <c r="O61"/>
  <c r="O58" s="1"/>
  <c r="M63"/>
  <c r="O65"/>
  <c r="O56"/>
  <c r="O55" s="1"/>
  <c r="O31"/>
  <c r="O30" s="1"/>
  <c r="F12" i="81"/>
  <c r="F8" s="1"/>
  <c r="F50" i="16"/>
  <c r="M20" i="33"/>
  <c r="M36"/>
  <c r="M13"/>
  <c r="O18"/>
  <c r="O73"/>
  <c r="O72" s="1"/>
  <c r="F39" i="81" l="1"/>
  <c r="F267" i="40"/>
  <c r="Z55" i="5"/>
  <c r="C10" i="33"/>
  <c r="C76" s="1"/>
  <c r="C78" s="1"/>
  <c r="G11"/>
  <c r="G10" s="1"/>
  <c r="G76" s="1"/>
  <c r="G78" s="1"/>
  <c r="O11"/>
  <c r="O10" s="1"/>
  <c r="Z23" i="5"/>
  <c r="H29"/>
  <c r="K76" i="33"/>
  <c r="K78" s="1"/>
  <c r="N31" i="7"/>
  <c r="F12"/>
  <c r="O13" i="33"/>
  <c r="O63"/>
  <c r="J26" i="79"/>
  <c r="J49"/>
  <c r="I49"/>
  <c r="I50"/>
  <c r="J50"/>
  <c r="F51"/>
  <c r="M76" i="33"/>
  <c r="M78" s="1"/>
  <c r="F51" i="9" l="1"/>
  <c r="F58" s="1"/>
  <c r="H60" i="5"/>
  <c r="Z29"/>
  <c r="H57"/>
  <c r="O76" i="33"/>
  <c r="O78" s="1"/>
  <c r="D51" i="9" s="1"/>
  <c r="F14" i="7"/>
  <c r="N47"/>
  <c r="H49" i="79"/>
  <c r="H50" s="1"/>
  <c r="G50"/>
  <c r="J51"/>
  <c r="Q422" i="16"/>
  <c r="Q447" s="1"/>
  <c r="Z57" i="5" l="1"/>
  <c r="Z60"/>
  <c r="F19" i="7"/>
  <c r="W493" i="16"/>
  <c r="C45" i="6" l="1"/>
  <c r="F460" i="16"/>
  <c r="F479" s="1"/>
  <c r="D45" i="6" l="1"/>
  <c r="D55" i="12"/>
  <c r="B11" i="6" l="1"/>
  <c r="B23" s="1"/>
  <c r="B28" s="1"/>
  <c r="B38" s="1"/>
  <c r="D12"/>
  <c r="D17"/>
  <c r="D18"/>
  <c r="D19"/>
  <c r="D37"/>
  <c r="X18" i="5" l="1"/>
  <c r="Q68" i="16"/>
  <c r="X13" i="5" l="1"/>
  <c r="X22"/>
  <c r="Q473" i="16"/>
  <c r="F110" i="14" l="1"/>
  <c r="D147" i="40"/>
  <c r="Q21" i="16" l="1"/>
  <c r="Q20"/>
  <c r="Q109" l="1"/>
  <c r="H37" i="69" l="1"/>
  <c r="H36"/>
  <c r="H34"/>
  <c r="H33"/>
  <c r="H18"/>
  <c r="H17"/>
  <c r="H15"/>
  <c r="H14"/>
  <c r="L13" i="68" l="1"/>
  <c r="L12"/>
  <c r="B8" i="72"/>
  <c r="B8" i="73"/>
  <c r="B8" i="32"/>
  <c r="B8" i="74"/>
  <c r="B8" i="71"/>
  <c r="B8" i="31"/>
  <c r="G13" i="68"/>
  <c r="N13" s="1"/>
  <c r="Q31" i="32"/>
  <c r="Q10"/>
  <c r="F58" i="72"/>
  <c r="M58" s="1"/>
  <c r="K57"/>
  <c r="K56" s="1"/>
  <c r="F57"/>
  <c r="F56" s="1"/>
  <c r="O56"/>
  <c r="J56"/>
  <c r="I56"/>
  <c r="H56"/>
  <c r="E56"/>
  <c r="D56"/>
  <c r="C56"/>
  <c r="B56"/>
  <c r="K54"/>
  <c r="F54"/>
  <c r="K53"/>
  <c r="K52" s="1"/>
  <c r="F53"/>
  <c r="F52" s="1"/>
  <c r="O52"/>
  <c r="J52"/>
  <c r="I52"/>
  <c r="H52"/>
  <c r="E52"/>
  <c r="D52"/>
  <c r="C52"/>
  <c r="B52"/>
  <c r="K51"/>
  <c r="K50" s="1"/>
  <c r="F51"/>
  <c r="F50" s="1"/>
  <c r="O50"/>
  <c r="J50"/>
  <c r="I50"/>
  <c r="H50"/>
  <c r="E50"/>
  <c r="D50"/>
  <c r="C50"/>
  <c r="B50"/>
  <c r="K49"/>
  <c r="K48" s="1"/>
  <c r="F49"/>
  <c r="O48"/>
  <c r="J48"/>
  <c r="I48"/>
  <c r="H48"/>
  <c r="F48"/>
  <c r="E48"/>
  <c r="D48"/>
  <c r="C48"/>
  <c r="B48"/>
  <c r="K47"/>
  <c r="F47"/>
  <c r="K46"/>
  <c r="F46"/>
  <c r="F45" s="1"/>
  <c r="O45"/>
  <c r="J45"/>
  <c r="I45"/>
  <c r="H45"/>
  <c r="E45"/>
  <c r="D45"/>
  <c r="C45"/>
  <c r="B45"/>
  <c r="K44"/>
  <c r="F44"/>
  <c r="O43"/>
  <c r="L43"/>
  <c r="K43"/>
  <c r="J43"/>
  <c r="I43"/>
  <c r="H43"/>
  <c r="E43"/>
  <c r="D43"/>
  <c r="C43"/>
  <c r="B43"/>
  <c r="K42"/>
  <c r="K40" s="1"/>
  <c r="F42"/>
  <c r="F41"/>
  <c r="M41" s="1"/>
  <c r="O40"/>
  <c r="L40"/>
  <c r="J40"/>
  <c r="I40"/>
  <c r="H40"/>
  <c r="E40"/>
  <c r="D40"/>
  <c r="C40"/>
  <c r="B40"/>
  <c r="K39"/>
  <c r="F39"/>
  <c r="K38"/>
  <c r="F38"/>
  <c r="K37"/>
  <c r="F37"/>
  <c r="K36"/>
  <c r="K35" s="1"/>
  <c r="F36"/>
  <c r="F35" s="1"/>
  <c r="O35"/>
  <c r="J35"/>
  <c r="I35"/>
  <c r="H35"/>
  <c r="E35"/>
  <c r="D35"/>
  <c r="C35"/>
  <c r="B35"/>
  <c r="K34"/>
  <c r="F34"/>
  <c r="K33"/>
  <c r="F33"/>
  <c r="K32"/>
  <c r="K31" s="1"/>
  <c r="F32"/>
  <c r="F31" s="1"/>
  <c r="O31"/>
  <c r="J31"/>
  <c r="I31"/>
  <c r="H31"/>
  <c r="E31"/>
  <c r="D31"/>
  <c r="C31"/>
  <c r="B31"/>
  <c r="K30"/>
  <c r="F30"/>
  <c r="K29"/>
  <c r="F29"/>
  <c r="K28"/>
  <c r="K27" s="1"/>
  <c r="F28"/>
  <c r="O27"/>
  <c r="L27"/>
  <c r="J27"/>
  <c r="I27"/>
  <c r="H27"/>
  <c r="E27"/>
  <c r="D27"/>
  <c r="C27"/>
  <c r="B27"/>
  <c r="K26"/>
  <c r="F26"/>
  <c r="K25"/>
  <c r="K24" s="1"/>
  <c r="F25"/>
  <c r="F24" s="1"/>
  <c r="O24"/>
  <c r="J24"/>
  <c r="I24"/>
  <c r="H24"/>
  <c r="E24"/>
  <c r="D24"/>
  <c r="C24"/>
  <c r="B24"/>
  <c r="K23"/>
  <c r="F23"/>
  <c r="K22"/>
  <c r="F22"/>
  <c r="K21"/>
  <c r="F21"/>
  <c r="K20"/>
  <c r="F20"/>
  <c r="K19"/>
  <c r="F19"/>
  <c r="K18"/>
  <c r="F18"/>
  <c r="K17"/>
  <c r="F17"/>
  <c r="K16"/>
  <c r="F16"/>
  <c r="K15"/>
  <c r="F15"/>
  <c r="K14"/>
  <c r="F14"/>
  <c r="K13"/>
  <c r="F13"/>
  <c r="K12"/>
  <c r="F12"/>
  <c r="K11"/>
  <c r="K10" s="1"/>
  <c r="F11"/>
  <c r="F10" s="1"/>
  <c r="O10"/>
  <c r="J10"/>
  <c r="I10"/>
  <c r="H10"/>
  <c r="E10"/>
  <c r="D10"/>
  <c r="C10"/>
  <c r="B10"/>
  <c r="K9"/>
  <c r="K8" s="1"/>
  <c r="F9"/>
  <c r="F8" s="1"/>
  <c r="O8"/>
  <c r="J8"/>
  <c r="I8"/>
  <c r="H8"/>
  <c r="E8"/>
  <c r="D8"/>
  <c r="C8"/>
  <c r="K34" i="74"/>
  <c r="F34"/>
  <c r="K33"/>
  <c r="F33"/>
  <c r="K32"/>
  <c r="F32"/>
  <c r="K31"/>
  <c r="F31"/>
  <c r="K30"/>
  <c r="F30"/>
  <c r="K29"/>
  <c r="F29"/>
  <c r="K28"/>
  <c r="M28" s="1"/>
  <c r="K27"/>
  <c r="F27"/>
  <c r="N26"/>
  <c r="J26"/>
  <c r="I26"/>
  <c r="H26"/>
  <c r="E26"/>
  <c r="D26"/>
  <c r="C26"/>
  <c r="B26"/>
  <c r="K24"/>
  <c r="K21" s="1"/>
  <c r="F24"/>
  <c r="F21" s="1"/>
  <c r="M23"/>
  <c r="M22"/>
  <c r="N21"/>
  <c r="J21"/>
  <c r="I21"/>
  <c r="H21"/>
  <c r="E21"/>
  <c r="D11" i="70" s="1"/>
  <c r="D12" s="1"/>
  <c r="H12" s="1"/>
  <c r="D21" i="74"/>
  <c r="C21"/>
  <c r="B21"/>
  <c r="K19"/>
  <c r="F19"/>
  <c r="K18"/>
  <c r="F18"/>
  <c r="K17"/>
  <c r="F17"/>
  <c r="K16"/>
  <c r="F16"/>
  <c r="K15"/>
  <c r="F15"/>
  <c r="K14"/>
  <c r="F14"/>
  <c r="K13"/>
  <c r="F13"/>
  <c r="K12"/>
  <c r="F12"/>
  <c r="K11"/>
  <c r="F11"/>
  <c r="K10"/>
  <c r="F10"/>
  <c r="K9"/>
  <c r="F9"/>
  <c r="N8"/>
  <c r="J8"/>
  <c r="I8"/>
  <c r="H8"/>
  <c r="E8"/>
  <c r="D8"/>
  <c r="C8"/>
  <c r="G58" i="73"/>
  <c r="P58" s="1"/>
  <c r="N57"/>
  <c r="N56" s="1"/>
  <c r="G57"/>
  <c r="G56" s="1"/>
  <c r="R56"/>
  <c r="M56"/>
  <c r="J56"/>
  <c r="I56"/>
  <c r="F56"/>
  <c r="E56"/>
  <c r="C56"/>
  <c r="B56"/>
  <c r="N54"/>
  <c r="G54"/>
  <c r="N53"/>
  <c r="N52" s="1"/>
  <c r="G53"/>
  <c r="G52" s="1"/>
  <c r="R52"/>
  <c r="M52"/>
  <c r="J52"/>
  <c r="I52"/>
  <c r="F52"/>
  <c r="E52"/>
  <c r="C52"/>
  <c r="B52"/>
  <c r="N51"/>
  <c r="N50" s="1"/>
  <c r="G51"/>
  <c r="G50" s="1"/>
  <c r="R50"/>
  <c r="M50"/>
  <c r="J50"/>
  <c r="I50"/>
  <c r="F50"/>
  <c r="E50"/>
  <c r="C50"/>
  <c r="B50"/>
  <c r="N49"/>
  <c r="N48" s="1"/>
  <c r="G49"/>
  <c r="R48"/>
  <c r="M48"/>
  <c r="J48"/>
  <c r="I48"/>
  <c r="F48"/>
  <c r="E48"/>
  <c r="C48"/>
  <c r="B48"/>
  <c r="N47"/>
  <c r="G47"/>
  <c r="N46"/>
  <c r="N45" s="1"/>
  <c r="G46"/>
  <c r="G45" s="1"/>
  <c r="R45"/>
  <c r="M45"/>
  <c r="J45"/>
  <c r="I45"/>
  <c r="F45"/>
  <c r="E45"/>
  <c r="C45"/>
  <c r="B45"/>
  <c r="N44"/>
  <c r="G44"/>
  <c r="R43"/>
  <c r="O43"/>
  <c r="N43"/>
  <c r="M43"/>
  <c r="J43"/>
  <c r="I43"/>
  <c r="F43"/>
  <c r="E43"/>
  <c r="C43"/>
  <c r="B43"/>
  <c r="N42"/>
  <c r="N40" s="1"/>
  <c r="G42"/>
  <c r="G41"/>
  <c r="P41" s="1"/>
  <c r="R40"/>
  <c r="O40"/>
  <c r="M40"/>
  <c r="J40"/>
  <c r="I40"/>
  <c r="F40"/>
  <c r="E40"/>
  <c r="C40"/>
  <c r="B40"/>
  <c r="N39"/>
  <c r="G39"/>
  <c r="N38"/>
  <c r="G38"/>
  <c r="N37"/>
  <c r="G37"/>
  <c r="N36"/>
  <c r="N35" s="1"/>
  <c r="G36"/>
  <c r="G35" s="1"/>
  <c r="R35"/>
  <c r="M35"/>
  <c r="J35"/>
  <c r="I35"/>
  <c r="F35"/>
  <c r="E35"/>
  <c r="C35"/>
  <c r="B35"/>
  <c r="N34"/>
  <c r="G34"/>
  <c r="N33"/>
  <c r="G33"/>
  <c r="N32"/>
  <c r="G32"/>
  <c r="G31" s="1"/>
  <c r="R31"/>
  <c r="M31"/>
  <c r="J31"/>
  <c r="I31"/>
  <c r="F31"/>
  <c r="E31"/>
  <c r="C31"/>
  <c r="B31"/>
  <c r="N30"/>
  <c r="G30"/>
  <c r="N29"/>
  <c r="G29"/>
  <c r="N28"/>
  <c r="G28"/>
  <c r="R27"/>
  <c r="O27"/>
  <c r="N27"/>
  <c r="M27"/>
  <c r="J27"/>
  <c r="I27"/>
  <c r="F27"/>
  <c r="E27"/>
  <c r="C27"/>
  <c r="B27"/>
  <c r="N26"/>
  <c r="G26"/>
  <c r="N25"/>
  <c r="N24" s="1"/>
  <c r="G25"/>
  <c r="G24" s="1"/>
  <c r="R24"/>
  <c r="M24"/>
  <c r="J24"/>
  <c r="I24"/>
  <c r="F24"/>
  <c r="E24"/>
  <c r="C24"/>
  <c r="B24"/>
  <c r="N23"/>
  <c r="G23"/>
  <c r="N22"/>
  <c r="G22"/>
  <c r="N21"/>
  <c r="G21"/>
  <c r="N20"/>
  <c r="G20"/>
  <c r="N19"/>
  <c r="G19"/>
  <c r="N18"/>
  <c r="G18"/>
  <c r="N17"/>
  <c r="G17"/>
  <c r="N16"/>
  <c r="G16"/>
  <c r="N15"/>
  <c r="G15"/>
  <c r="N14"/>
  <c r="G14"/>
  <c r="N13"/>
  <c r="G13"/>
  <c r="N11"/>
  <c r="G11"/>
  <c r="R10"/>
  <c r="M10"/>
  <c r="J10"/>
  <c r="I10"/>
  <c r="F10"/>
  <c r="E10"/>
  <c r="C10"/>
  <c r="B10"/>
  <c r="N9"/>
  <c r="N8" s="1"/>
  <c r="G9"/>
  <c r="G8" s="1"/>
  <c r="R8"/>
  <c r="M8"/>
  <c r="J8"/>
  <c r="I8"/>
  <c r="F8"/>
  <c r="E8"/>
  <c r="C8"/>
  <c r="G30" i="71"/>
  <c r="B61" s="1"/>
  <c r="M34"/>
  <c r="G34"/>
  <c r="M33"/>
  <c r="G33"/>
  <c r="M32"/>
  <c r="G32"/>
  <c r="M31"/>
  <c r="G31"/>
  <c r="M30"/>
  <c r="I61" s="1"/>
  <c r="M28"/>
  <c r="O28" s="1"/>
  <c r="M27"/>
  <c r="G27"/>
  <c r="P26"/>
  <c r="L26"/>
  <c r="J26"/>
  <c r="I26"/>
  <c r="F26"/>
  <c r="E26"/>
  <c r="C26"/>
  <c r="B26"/>
  <c r="M24"/>
  <c r="G24"/>
  <c r="G21" s="1"/>
  <c r="M21"/>
  <c r="P21"/>
  <c r="L21"/>
  <c r="J21"/>
  <c r="I21"/>
  <c r="F21"/>
  <c r="E21"/>
  <c r="C21"/>
  <c r="B21"/>
  <c r="M19"/>
  <c r="G19"/>
  <c r="M18"/>
  <c r="G18"/>
  <c r="M17"/>
  <c r="G17"/>
  <c r="M16"/>
  <c r="G16"/>
  <c r="M15"/>
  <c r="G15"/>
  <c r="M14"/>
  <c r="G14"/>
  <c r="M13"/>
  <c r="G13"/>
  <c r="M12"/>
  <c r="G12"/>
  <c r="M11"/>
  <c r="G11"/>
  <c r="M10"/>
  <c r="G10"/>
  <c r="M9"/>
  <c r="G9"/>
  <c r="G8" s="1"/>
  <c r="P8"/>
  <c r="L8"/>
  <c r="J8"/>
  <c r="I8"/>
  <c r="F8"/>
  <c r="E8"/>
  <c r="C8"/>
  <c r="M28" i="72" l="1"/>
  <c r="K26" i="74"/>
  <c r="K36" s="1"/>
  <c r="F40" i="72"/>
  <c r="M44"/>
  <c r="M43" s="1"/>
  <c r="M47"/>
  <c r="M49"/>
  <c r="M48" s="1"/>
  <c r="M51"/>
  <c r="M50" s="1"/>
  <c r="M53"/>
  <c r="M54"/>
  <c r="F26" i="74"/>
  <c r="P28" i="73"/>
  <c r="P29"/>
  <c r="P30"/>
  <c r="M9" i="74"/>
  <c r="M10"/>
  <c r="M11"/>
  <c r="M12"/>
  <c r="M13"/>
  <c r="M14"/>
  <c r="M15"/>
  <c r="M16"/>
  <c r="M17"/>
  <c r="M18"/>
  <c r="M27"/>
  <c r="M9" i="72"/>
  <c r="M8" s="1"/>
  <c r="M11"/>
  <c r="M12"/>
  <c r="M13"/>
  <c r="M14"/>
  <c r="M15"/>
  <c r="M16"/>
  <c r="M17"/>
  <c r="M18"/>
  <c r="M19"/>
  <c r="M20"/>
  <c r="M21"/>
  <c r="M22"/>
  <c r="M23"/>
  <c r="M25"/>
  <c r="M24" s="1"/>
  <c r="G61" i="71"/>
  <c r="B57"/>
  <c r="B67" s="1"/>
  <c r="M61"/>
  <c r="M57" s="1"/>
  <c r="M67" s="1"/>
  <c r="D44" i="69" s="1"/>
  <c r="H44" s="1"/>
  <c r="I57" i="71"/>
  <c r="I67" s="1"/>
  <c r="O32"/>
  <c r="O11"/>
  <c r="O16"/>
  <c r="O18"/>
  <c r="O19"/>
  <c r="O24"/>
  <c r="O30"/>
  <c r="M19" i="74"/>
  <c r="E36" i="71"/>
  <c r="P37" i="73"/>
  <c r="G40"/>
  <c r="P42"/>
  <c r="P40" s="1"/>
  <c r="P46"/>
  <c r="P47"/>
  <c r="P51"/>
  <c r="P50" s="1"/>
  <c r="P53"/>
  <c r="P54"/>
  <c r="M29" i="74"/>
  <c r="M30"/>
  <c r="M31"/>
  <c r="M32"/>
  <c r="M33"/>
  <c r="M34"/>
  <c r="M24"/>
  <c r="D13" i="70"/>
  <c r="J36" i="71"/>
  <c r="D23" i="69" s="1"/>
  <c r="G26" i="71"/>
  <c r="G36" s="1"/>
  <c r="D25" i="69" s="1"/>
  <c r="F36" i="71"/>
  <c r="P36"/>
  <c r="P14" i="73"/>
  <c r="P17"/>
  <c r="P19"/>
  <c r="P23"/>
  <c r="P26"/>
  <c r="G27"/>
  <c r="P32"/>
  <c r="K8" i="74"/>
  <c r="E36"/>
  <c r="H36"/>
  <c r="J36"/>
  <c r="N36"/>
  <c r="F27" i="72"/>
  <c r="M30"/>
  <c r="M32"/>
  <c r="M33"/>
  <c r="M34"/>
  <c r="M36"/>
  <c r="M37"/>
  <c r="M38"/>
  <c r="M39"/>
  <c r="L59"/>
  <c r="M42"/>
  <c r="M40" s="1"/>
  <c r="F43"/>
  <c r="K45"/>
  <c r="O59"/>
  <c r="E59"/>
  <c r="B36" i="71"/>
  <c r="L36"/>
  <c r="O59" i="73"/>
  <c r="E59"/>
  <c r="R59"/>
  <c r="M21" i="74"/>
  <c r="B36"/>
  <c r="D36"/>
  <c r="I36"/>
  <c r="M26" i="72"/>
  <c r="D59"/>
  <c r="H59"/>
  <c r="J59"/>
  <c r="B59"/>
  <c r="I59"/>
  <c r="C59"/>
  <c r="K59"/>
  <c r="M29"/>
  <c r="M46"/>
  <c r="M45" s="1"/>
  <c r="M57"/>
  <c r="M56" s="1"/>
  <c r="C36" i="74"/>
  <c r="F8"/>
  <c r="P33" i="73"/>
  <c r="N31"/>
  <c r="P34"/>
  <c r="P49"/>
  <c r="P48" s="1"/>
  <c r="P57"/>
  <c r="P56" s="1"/>
  <c r="P39"/>
  <c r="P38"/>
  <c r="P36"/>
  <c r="P44"/>
  <c r="P43" s="1"/>
  <c r="G43"/>
  <c r="P25"/>
  <c r="P24" s="1"/>
  <c r="P22"/>
  <c r="P21"/>
  <c r="P20"/>
  <c r="J59"/>
  <c r="N10"/>
  <c r="P11"/>
  <c r="P12"/>
  <c r="P13"/>
  <c r="P15"/>
  <c r="P16"/>
  <c r="P18"/>
  <c r="G10"/>
  <c r="M59"/>
  <c r="P9"/>
  <c r="P8" s="1"/>
  <c r="I59"/>
  <c r="F59"/>
  <c r="C59"/>
  <c r="B59"/>
  <c r="G48"/>
  <c r="O29" i="71"/>
  <c r="O31"/>
  <c r="O33"/>
  <c r="O34"/>
  <c r="M26"/>
  <c r="O23"/>
  <c r="M8"/>
  <c r="O10"/>
  <c r="O12"/>
  <c r="O13"/>
  <c r="O14"/>
  <c r="O15"/>
  <c r="O17"/>
  <c r="I36"/>
  <c r="C36"/>
  <c r="O9"/>
  <c r="O22"/>
  <c r="O27"/>
  <c r="M27" i="72" l="1"/>
  <c r="P31" i="73"/>
  <c r="F59" i="72"/>
  <c r="D30" i="7"/>
  <c r="M52" i="72"/>
  <c r="M26" i="74"/>
  <c r="F36"/>
  <c r="B55" s="1"/>
  <c r="B70" s="1"/>
  <c r="M8"/>
  <c r="P27" i="73"/>
  <c r="M10" i="72"/>
  <c r="P45" i="73"/>
  <c r="G6" i="55"/>
  <c r="G10" s="1"/>
  <c r="D16" i="70"/>
  <c r="O61" i="71"/>
  <c r="O57" s="1"/>
  <c r="O67" s="1"/>
  <c r="D42" i="69" s="1"/>
  <c r="G57" i="71"/>
  <c r="G67" s="1"/>
  <c r="D43" i="69" s="1"/>
  <c r="H43" s="1"/>
  <c r="O21" i="71"/>
  <c r="F58" i="74"/>
  <c r="P52" i="73"/>
  <c r="M36" i="71"/>
  <c r="D26" i="69" s="1"/>
  <c r="H26" s="1"/>
  <c r="M31" i="72"/>
  <c r="N59" i="73"/>
  <c r="M35" i="72"/>
  <c r="M59" s="1"/>
  <c r="G59" i="73"/>
  <c r="P35"/>
  <c r="P10"/>
  <c r="O26" i="71"/>
  <c r="O8"/>
  <c r="M36" i="74" l="1"/>
  <c r="O36" i="71"/>
  <c r="F55" i="74"/>
  <c r="F70" s="1"/>
  <c r="M58"/>
  <c r="M55" s="1"/>
  <c r="M70" s="1"/>
  <c r="P59" i="73"/>
  <c r="U469" i="16" l="1"/>
  <c r="X48" i="5" l="1"/>
  <c r="Q472" i="16" l="1"/>
  <c r="G13" i="70"/>
  <c r="G12" s="1"/>
  <c r="F13"/>
  <c r="F12" s="1"/>
  <c r="H11"/>
  <c r="H9"/>
  <c r="D120" i="40"/>
  <c r="D114"/>
  <c r="D108"/>
  <c r="D103"/>
  <c r="D160"/>
  <c r="H13" i="70" l="1"/>
  <c r="E6" i="55" s="1"/>
  <c r="E10" s="1"/>
  <c r="H14" i="70"/>
  <c r="H8"/>
  <c r="U606" i="16"/>
  <c r="H16" i="70" l="1"/>
  <c r="C31" i="4" s="1"/>
  <c r="E31"/>
  <c r="D89" i="40"/>
  <c r="G44" i="69"/>
  <c r="G11" s="1"/>
  <c r="F44"/>
  <c r="F11" s="1"/>
  <c r="E44"/>
  <c r="G43"/>
  <c r="G10" s="1"/>
  <c r="F43"/>
  <c r="F10" s="1"/>
  <c r="E43"/>
  <c r="H41"/>
  <c r="H40"/>
  <c r="H39"/>
  <c r="H38"/>
  <c r="H35"/>
  <c r="H32"/>
  <c r="H31"/>
  <c r="H30"/>
  <c r="G29"/>
  <c r="F29"/>
  <c r="C29"/>
  <c r="G24"/>
  <c r="F24"/>
  <c r="E24"/>
  <c r="C24"/>
  <c r="H23"/>
  <c r="H20"/>
  <c r="C11"/>
  <c r="F31" i="4" l="1"/>
  <c r="G9" i="69"/>
  <c r="G42"/>
  <c r="F9"/>
  <c r="F42"/>
  <c r="E42"/>
  <c r="E10"/>
  <c r="E9" s="1"/>
  <c r="C10"/>
  <c r="C9" s="1"/>
  <c r="H11"/>
  <c r="H25"/>
  <c r="H29"/>
  <c r="K16" i="68"/>
  <c r="M16"/>
  <c r="J16"/>
  <c r="I16"/>
  <c r="H16"/>
  <c r="F16"/>
  <c r="E16"/>
  <c r="D16"/>
  <c r="L15"/>
  <c r="N15"/>
  <c r="G14"/>
  <c r="N14" s="1"/>
  <c r="L11"/>
  <c r="G11"/>
  <c r="N11" s="1"/>
  <c r="L10"/>
  <c r="G10"/>
  <c r="N10" s="1"/>
  <c r="D26" i="6"/>
  <c r="L16" i="68" l="1"/>
  <c r="H10" i="69"/>
  <c r="H9"/>
  <c r="H42"/>
  <c r="C30" i="4" s="1"/>
  <c r="F30" s="1"/>
  <c r="G12" i="68"/>
  <c r="G16" l="1"/>
  <c r="N12"/>
  <c r="N16" s="1"/>
  <c r="D47" i="34"/>
  <c r="D25"/>
  <c r="D23"/>
  <c r="E23" s="1"/>
  <c r="Q606" i="16" l="1"/>
  <c r="E15" i="35"/>
  <c r="E25"/>
  <c r="D54" i="12" l="1"/>
  <c r="D52"/>
  <c r="D53"/>
  <c r="D24" i="34" l="1"/>
  <c r="E24" s="1"/>
  <c r="D21"/>
  <c r="E21" s="1"/>
  <c r="D16" l="1"/>
  <c r="E16" s="1"/>
  <c r="D17"/>
  <c r="E17" s="1"/>
  <c r="D18"/>
  <c r="E18" s="1"/>
  <c r="D42"/>
  <c r="D44"/>
  <c r="D14"/>
  <c r="E14" s="1"/>
  <c r="D37"/>
  <c r="D19"/>
  <c r="E19" s="1"/>
  <c r="D20"/>
  <c r="E20" s="1"/>
  <c r="D9"/>
  <c r="E9" s="1"/>
  <c r="Q23" i="16" l="1"/>
  <c r="Q278"/>
  <c r="Q221"/>
  <c r="Q621"/>
  <c r="Q641"/>
  <c r="Q632"/>
  <c r="Q222"/>
  <c r="Q216"/>
  <c r="Q341"/>
  <c r="Q340"/>
  <c r="X37" i="5"/>
  <c r="X43"/>
  <c r="X41"/>
  <c r="D39" i="34"/>
  <c r="Q46" i="16"/>
  <c r="S12" i="5" s="1"/>
  <c r="Q80" i="16"/>
  <c r="Q219" l="1"/>
  <c r="Q220"/>
  <c r="D41" i="34"/>
  <c r="D38"/>
  <c r="D40"/>
  <c r="D46"/>
  <c r="D45"/>
  <c r="D36"/>
  <c r="Q223" i="16"/>
  <c r="Q79"/>
  <c r="Q70"/>
  <c r="I31" i="30"/>
  <c r="I36" l="1"/>
  <c r="C23" i="35" l="1"/>
  <c r="C22" s="1"/>
  <c r="E27"/>
  <c r="F27" s="1"/>
  <c r="C27"/>
  <c r="B27"/>
  <c r="C26"/>
  <c r="Q75" i="16"/>
  <c r="S20" i="5" s="1"/>
  <c r="D15" i="34"/>
  <c r="E15" s="1"/>
  <c r="Q586" i="16"/>
  <c r="Q594" s="1"/>
  <c r="U586"/>
  <c r="U594" s="1"/>
  <c r="Q579"/>
  <c r="Q582" s="1"/>
  <c r="U579"/>
  <c r="U582" s="1"/>
  <c r="U223"/>
  <c r="X45" i="5"/>
  <c r="X42"/>
  <c r="U462" i="16"/>
  <c r="X36" i="5"/>
  <c r="U465" i="16"/>
  <c r="Q317"/>
  <c r="Q320" s="1"/>
  <c r="U317"/>
  <c r="U320" s="1"/>
  <c r="Q309"/>
  <c r="Q311" s="1"/>
  <c r="S53" i="5" s="1"/>
  <c r="U309" i="16"/>
  <c r="U311" s="1"/>
  <c r="U283"/>
  <c r="Q282"/>
  <c r="U282"/>
  <c r="Q281"/>
  <c r="U281"/>
  <c r="Q280"/>
  <c r="U280"/>
  <c r="Q279"/>
  <c r="U279"/>
  <c r="Q276"/>
  <c r="U276"/>
  <c r="U285" s="1"/>
  <c r="U35" i="5" s="1"/>
  <c r="U261" i="16"/>
  <c r="U254"/>
  <c r="U247"/>
  <c r="U239"/>
  <c r="U231"/>
  <c r="Q224"/>
  <c r="Q218" s="1"/>
  <c r="U224"/>
  <c r="U222"/>
  <c r="U221"/>
  <c r="U220"/>
  <c r="U219"/>
  <c r="U216"/>
  <c r="Q202"/>
  <c r="Q191"/>
  <c r="Q128"/>
  <c r="U128"/>
  <c r="Q129"/>
  <c r="U129"/>
  <c r="U109"/>
  <c r="U112" s="1"/>
  <c r="Q108" s="1"/>
  <c r="Q101"/>
  <c r="Q100"/>
  <c r="U101"/>
  <c r="U100"/>
  <c r="U92"/>
  <c r="U91"/>
  <c r="U79"/>
  <c r="U75" s="1"/>
  <c r="U20" i="5" s="1"/>
  <c r="Q72" i="16"/>
  <c r="Q71"/>
  <c r="Q91"/>
  <c r="U72"/>
  <c r="U71"/>
  <c r="U70"/>
  <c r="U68"/>
  <c r="Q13"/>
  <c r="Q12"/>
  <c r="Q11"/>
  <c r="Q10"/>
  <c r="U13"/>
  <c r="U12"/>
  <c r="U11"/>
  <c r="U10"/>
  <c r="E83" i="12"/>
  <c r="E79"/>
  <c r="E78"/>
  <c r="C77"/>
  <c r="E77" s="1"/>
  <c r="C76"/>
  <c r="E76" s="1"/>
  <c r="E75"/>
  <c r="E74"/>
  <c r="E73"/>
  <c r="D72"/>
  <c r="D80" s="1"/>
  <c r="D13" i="79"/>
  <c r="C202" i="12"/>
  <c r="C207" s="1"/>
  <c r="C180"/>
  <c r="C184" s="1"/>
  <c r="C160"/>
  <c r="C148"/>
  <c r="C138"/>
  <c r="C128"/>
  <c r="C119"/>
  <c r="C13" s="1"/>
  <c r="C110"/>
  <c r="C12" s="1"/>
  <c r="G12" s="1"/>
  <c r="C101"/>
  <c r="C11" s="1"/>
  <c r="E62"/>
  <c r="E58"/>
  <c r="E57"/>
  <c r="E56"/>
  <c r="D51"/>
  <c r="D59" s="1"/>
  <c r="Q469" i="16"/>
  <c r="D14" i="35"/>
  <c r="D17"/>
  <c r="G14" i="32"/>
  <c r="L14" s="1"/>
  <c r="Z14" s="1"/>
  <c r="G15"/>
  <c r="L15" s="1"/>
  <c r="Z15" s="1"/>
  <c r="G16"/>
  <c r="L16" s="1"/>
  <c r="Z16" s="1"/>
  <c r="G17"/>
  <c r="L17" s="1"/>
  <c r="Z17" s="1"/>
  <c r="G18"/>
  <c r="L18" s="1"/>
  <c r="Z18" s="1"/>
  <c r="G19"/>
  <c r="L19" s="1"/>
  <c r="Z19" s="1"/>
  <c r="G14" i="31"/>
  <c r="L14" s="1"/>
  <c r="Y14" s="1"/>
  <c r="G15"/>
  <c r="L15" s="1"/>
  <c r="Y15" s="1"/>
  <c r="G16"/>
  <c r="L16" s="1"/>
  <c r="Y16" s="1"/>
  <c r="G17"/>
  <c r="L17" s="1"/>
  <c r="Y17" s="1"/>
  <c r="G18"/>
  <c r="L18" s="1"/>
  <c r="Y18" s="1"/>
  <c r="G19"/>
  <c r="L19" s="1"/>
  <c r="Y19" s="1"/>
  <c r="G13" i="32"/>
  <c r="L13" s="1"/>
  <c r="Z13" s="1"/>
  <c r="G13" i="31"/>
  <c r="L13" s="1"/>
  <c r="Y13" s="1"/>
  <c r="D34" i="6"/>
  <c r="U204" i="16"/>
  <c r="U173"/>
  <c r="Q204"/>
  <c r="Q173"/>
  <c r="Q404"/>
  <c r="W404" s="1"/>
  <c r="U464"/>
  <c r="D35" i="6"/>
  <c r="U202" i="16"/>
  <c r="U191"/>
  <c r="U186" s="1"/>
  <c r="U26" i="5" s="1"/>
  <c r="H36" i="30"/>
  <c r="G23" i="31"/>
  <c r="R21"/>
  <c r="G39" i="32"/>
  <c r="L39" s="1"/>
  <c r="Z39" s="1"/>
  <c r="G36"/>
  <c r="L36" s="1"/>
  <c r="Z36" s="1"/>
  <c r="G37"/>
  <c r="L37" s="1"/>
  <c r="Z37" s="1"/>
  <c r="G38"/>
  <c r="L38" s="1"/>
  <c r="Z38" s="1"/>
  <c r="G22"/>
  <c r="L22" s="1"/>
  <c r="Z22" s="1"/>
  <c r="G21"/>
  <c r="L21" s="1"/>
  <c r="Z21" s="1"/>
  <c r="G20"/>
  <c r="L20" s="1"/>
  <c r="Z20" s="1"/>
  <c r="Q56"/>
  <c r="Q52"/>
  <c r="Q50"/>
  <c r="Q48"/>
  <c r="Q45"/>
  <c r="Q43"/>
  <c r="Q40"/>
  <c r="Q35"/>
  <c r="Q27"/>
  <c r="Q24"/>
  <c r="Q8"/>
  <c r="G33"/>
  <c r="L33" s="1"/>
  <c r="Z33" s="1"/>
  <c r="R26"/>
  <c r="V26" s="1"/>
  <c r="V24" s="1"/>
  <c r="G26"/>
  <c r="G25"/>
  <c r="C8" i="31"/>
  <c r="F8"/>
  <c r="E8"/>
  <c r="E22" i="35"/>
  <c r="E9"/>
  <c r="E45" i="34"/>
  <c r="U343" i="16"/>
  <c r="Q343"/>
  <c r="D31" i="35"/>
  <c r="F31" s="1"/>
  <c r="C8" i="32"/>
  <c r="B9" i="35" s="1"/>
  <c r="E8" i="32"/>
  <c r="C10" i="35" s="1"/>
  <c r="F8" i="32"/>
  <c r="N8"/>
  <c r="O8"/>
  <c r="AB8"/>
  <c r="G9"/>
  <c r="R8"/>
  <c r="B10"/>
  <c r="C10"/>
  <c r="E10"/>
  <c r="C13" i="35" s="1"/>
  <c r="F10" i="32"/>
  <c r="N10"/>
  <c r="O10"/>
  <c r="AB10"/>
  <c r="E12" i="35" s="1"/>
  <c r="G11" i="32"/>
  <c r="L11" s="1"/>
  <c r="G23"/>
  <c r="L23" s="1"/>
  <c r="B24"/>
  <c r="C24"/>
  <c r="E24"/>
  <c r="C16" i="35" s="1"/>
  <c r="C15" s="1"/>
  <c r="F24" i="32"/>
  <c r="N24"/>
  <c r="O24"/>
  <c r="AB24"/>
  <c r="R24"/>
  <c r="B27"/>
  <c r="C27"/>
  <c r="B18" i="35" s="1"/>
  <c r="E27" i="32"/>
  <c r="C19" i="35" s="1"/>
  <c r="F27" i="32"/>
  <c r="N27"/>
  <c r="O27"/>
  <c r="AB27"/>
  <c r="E18" i="35" s="1"/>
  <c r="G28" i="32"/>
  <c r="L28" s="1"/>
  <c r="R28"/>
  <c r="V28" s="1"/>
  <c r="G29"/>
  <c r="L29" s="1"/>
  <c r="R29"/>
  <c r="V29" s="1"/>
  <c r="G30"/>
  <c r="L30" s="1"/>
  <c r="R30"/>
  <c r="V30" s="1"/>
  <c r="B31"/>
  <c r="C31"/>
  <c r="E31"/>
  <c r="F31"/>
  <c r="N31"/>
  <c r="O31"/>
  <c r="AB31"/>
  <c r="G32"/>
  <c r="L32" s="1"/>
  <c r="R32"/>
  <c r="V32" s="1"/>
  <c r="V31" s="1"/>
  <c r="G34"/>
  <c r="L34" s="1"/>
  <c r="Z34" s="1"/>
  <c r="B35"/>
  <c r="C35"/>
  <c r="E35"/>
  <c r="F35"/>
  <c r="N35"/>
  <c r="O35"/>
  <c r="AB35"/>
  <c r="B40"/>
  <c r="C40"/>
  <c r="E40"/>
  <c r="F40"/>
  <c r="N40"/>
  <c r="O40"/>
  <c r="AB40"/>
  <c r="G41"/>
  <c r="G42"/>
  <c r="R40"/>
  <c r="B43"/>
  <c r="C43"/>
  <c r="B22" i="35" s="1"/>
  <c r="E43" i="32"/>
  <c r="F43"/>
  <c r="N43"/>
  <c r="O43"/>
  <c r="AB43"/>
  <c r="G44"/>
  <c r="L44" s="1"/>
  <c r="R43"/>
  <c r="B45"/>
  <c r="C45"/>
  <c r="E45"/>
  <c r="F45"/>
  <c r="N45"/>
  <c r="O45"/>
  <c r="AB45"/>
  <c r="G46"/>
  <c r="L46" s="1"/>
  <c r="R46"/>
  <c r="V46" s="1"/>
  <c r="G47"/>
  <c r="L47" s="1"/>
  <c r="R47"/>
  <c r="V47" s="1"/>
  <c r="B48"/>
  <c r="C48"/>
  <c r="B16" i="35" s="1"/>
  <c r="E48" i="32"/>
  <c r="F48"/>
  <c r="N48"/>
  <c r="O48"/>
  <c r="AB48"/>
  <c r="G49"/>
  <c r="R48"/>
  <c r="B50"/>
  <c r="C50"/>
  <c r="E50"/>
  <c r="F50"/>
  <c r="N50"/>
  <c r="O50"/>
  <c r="AB50"/>
  <c r="G51"/>
  <c r="R51"/>
  <c r="B52"/>
  <c r="C52"/>
  <c r="E52"/>
  <c r="F52"/>
  <c r="N52"/>
  <c r="O52"/>
  <c r="AB52"/>
  <c r="G53"/>
  <c r="L53" s="1"/>
  <c r="R53"/>
  <c r="V53" s="1"/>
  <c r="G54"/>
  <c r="L54" s="1"/>
  <c r="R54"/>
  <c r="V54" s="1"/>
  <c r="C56"/>
  <c r="E56"/>
  <c r="F56"/>
  <c r="N56"/>
  <c r="O56"/>
  <c r="AB56"/>
  <c r="G57"/>
  <c r="L57" s="1"/>
  <c r="Z57" s="1"/>
  <c r="R56"/>
  <c r="G58"/>
  <c r="N8" i="31"/>
  <c r="O8"/>
  <c r="Q8"/>
  <c r="Z8"/>
  <c r="G9"/>
  <c r="L9" s="1"/>
  <c r="Y9" s="1"/>
  <c r="G10"/>
  <c r="L10" s="1"/>
  <c r="Y10" s="1"/>
  <c r="G11"/>
  <c r="L11" s="1"/>
  <c r="Y11" s="1"/>
  <c r="G12"/>
  <c r="L12" s="1"/>
  <c r="Y12" s="1"/>
  <c r="B21"/>
  <c r="C21"/>
  <c r="E21"/>
  <c r="F21"/>
  <c r="N21"/>
  <c r="O21"/>
  <c r="Q21"/>
  <c r="Z21"/>
  <c r="C26"/>
  <c r="E26"/>
  <c r="F26"/>
  <c r="O26"/>
  <c r="Q26"/>
  <c r="Z26"/>
  <c r="Z36" s="1"/>
  <c r="G27"/>
  <c r="L27" s="1"/>
  <c r="Y27" s="1"/>
  <c r="G28"/>
  <c r="L28" s="1"/>
  <c r="Y28" s="1"/>
  <c r="G30"/>
  <c r="L30" s="1"/>
  <c r="Y30" s="1"/>
  <c r="G32"/>
  <c r="L32" s="1"/>
  <c r="Y32" s="1"/>
  <c r="G33"/>
  <c r="L33" s="1"/>
  <c r="Y33" s="1"/>
  <c r="G34"/>
  <c r="L34" s="1"/>
  <c r="Y34" s="1"/>
  <c r="Q38" i="16"/>
  <c r="U38"/>
  <c r="Q122"/>
  <c r="U122"/>
  <c r="Q231"/>
  <c r="Q239"/>
  <c r="Q247"/>
  <c r="Q254"/>
  <c r="Q261"/>
  <c r="U504"/>
  <c r="U510"/>
  <c r="Q524"/>
  <c r="U524"/>
  <c r="U531" s="1"/>
  <c r="U538"/>
  <c r="Q617"/>
  <c r="U617"/>
  <c r="Q626"/>
  <c r="U626"/>
  <c r="Q635"/>
  <c r="U635"/>
  <c r="Q644"/>
  <c r="U644"/>
  <c r="D27" i="6"/>
  <c r="R31" i="32"/>
  <c r="G43"/>
  <c r="R35"/>
  <c r="E46" i="34"/>
  <c r="D35"/>
  <c r="E35" s="1"/>
  <c r="G22" i="31"/>
  <c r="G52" i="32"/>
  <c r="E36" i="31" l="1"/>
  <c r="L22"/>
  <c r="D29" i="85" s="1"/>
  <c r="D11"/>
  <c r="L23" i="31"/>
  <c r="Y23" s="1"/>
  <c r="F11" i="85"/>
  <c r="F10" s="1"/>
  <c r="G10" i="32"/>
  <c r="R45"/>
  <c r="G27"/>
  <c r="E11" i="12"/>
  <c r="G11"/>
  <c r="E13"/>
  <c r="G13"/>
  <c r="B36" i="31"/>
  <c r="R27" i="32"/>
  <c r="R52"/>
  <c r="G35"/>
  <c r="C14" i="12"/>
  <c r="Z47" i="32"/>
  <c r="Z46"/>
  <c r="Z32"/>
  <c r="R50"/>
  <c r="V51"/>
  <c r="L43"/>
  <c r="Z44"/>
  <c r="Z43" s="1"/>
  <c r="Z54"/>
  <c r="Z53"/>
  <c r="V45"/>
  <c r="Z30"/>
  <c r="Z29"/>
  <c r="Z28"/>
  <c r="L10"/>
  <c r="Z11"/>
  <c r="V27"/>
  <c r="L26" i="31"/>
  <c r="G29" i="85" s="1"/>
  <c r="G28" s="1"/>
  <c r="L8" i="31"/>
  <c r="E29" i="85" s="1"/>
  <c r="E28" s="1"/>
  <c r="L58" i="32"/>
  <c r="Z58" s="1"/>
  <c r="G48"/>
  <c r="L49"/>
  <c r="L41"/>
  <c r="Z41" s="1"/>
  <c r="G8"/>
  <c r="L9"/>
  <c r="G24"/>
  <c r="L25"/>
  <c r="L56"/>
  <c r="L27"/>
  <c r="L26" s="1"/>
  <c r="Z26" s="1"/>
  <c r="L35"/>
  <c r="G50"/>
  <c r="L51"/>
  <c r="G40"/>
  <c r="L42"/>
  <c r="Z42" s="1"/>
  <c r="L45"/>
  <c r="L31"/>
  <c r="E12" i="12"/>
  <c r="U53" i="5"/>
  <c r="U468" i="16" s="1"/>
  <c r="S46" i="5"/>
  <c r="X46" s="1"/>
  <c r="Q468" i="16"/>
  <c r="X53" i="5"/>
  <c r="X15"/>
  <c r="X17"/>
  <c r="X16"/>
  <c r="X12"/>
  <c r="I13" i="79"/>
  <c r="D12"/>
  <c r="D26" s="1"/>
  <c r="D51" s="1"/>
  <c r="C26"/>
  <c r="C51" s="1"/>
  <c r="U466" i="16"/>
  <c r="D26" i="35"/>
  <c r="E52" i="12"/>
  <c r="E31"/>
  <c r="E54"/>
  <c r="E33"/>
  <c r="E53"/>
  <c r="E32"/>
  <c r="C30"/>
  <c r="C38" s="1"/>
  <c r="Z56" i="32"/>
  <c r="G26" i="31"/>
  <c r="G11" i="85" s="1"/>
  <c r="G10" s="1"/>
  <c r="E34" i="12"/>
  <c r="Q465" i="16"/>
  <c r="Q59" i="32"/>
  <c r="AB59"/>
  <c r="C72" i="12"/>
  <c r="C80" s="1"/>
  <c r="B15" i="35"/>
  <c r="D15" s="1"/>
  <c r="Q510" i="16"/>
  <c r="Q531" s="1"/>
  <c r="D11" i="34"/>
  <c r="E11" s="1"/>
  <c r="Q48" i="16"/>
  <c r="S14" i="5" s="1"/>
  <c r="G56" i="32"/>
  <c r="N59"/>
  <c r="E59"/>
  <c r="B59"/>
  <c r="B25" i="35"/>
  <c r="U46" i="16"/>
  <c r="F36" i="31"/>
  <c r="X20" i="5"/>
  <c r="Q538" i="16"/>
  <c r="U268"/>
  <c r="B12" i="35"/>
  <c r="E29"/>
  <c r="C171" i="12"/>
  <c r="D23" i="35"/>
  <c r="D22" s="1"/>
  <c r="E55" i="12"/>
  <c r="C9" i="35"/>
  <c r="D10"/>
  <c r="D19"/>
  <c r="F19" s="1"/>
  <c r="F18" s="1"/>
  <c r="G18" s="1"/>
  <c r="C18"/>
  <c r="D18" s="1"/>
  <c r="D13"/>
  <c r="F13" s="1"/>
  <c r="F12" s="1"/>
  <c r="G12" s="1"/>
  <c r="G31" i="32"/>
  <c r="Z23"/>
  <c r="U196" i="16"/>
  <c r="G8" i="31"/>
  <c r="E11" i="85" s="1"/>
  <c r="E10" s="1"/>
  <c r="Q36" i="31"/>
  <c r="F59" i="32"/>
  <c r="G45"/>
  <c r="C25" i="35"/>
  <c r="D16"/>
  <c r="F16" s="1"/>
  <c r="F15" s="1"/>
  <c r="C12"/>
  <c r="O36" i="31"/>
  <c r="C36"/>
  <c r="F24" i="7" s="1"/>
  <c r="O59" i="32"/>
  <c r="E72" i="12"/>
  <c r="E80" s="1"/>
  <c r="D13" i="34"/>
  <c r="E13" s="1"/>
  <c r="E41"/>
  <c r="E44"/>
  <c r="E40"/>
  <c r="Q103" i="16"/>
  <c r="Q196"/>
  <c r="S27" i="5" s="1"/>
  <c r="E42" i="34"/>
  <c r="U131" i="16"/>
  <c r="E37" i="34"/>
  <c r="U103" i="16"/>
  <c r="U218"/>
  <c r="U227" s="1"/>
  <c r="U34" i="5" s="1"/>
  <c r="U49" s="1"/>
  <c r="D8" i="34"/>
  <c r="E8" s="1"/>
  <c r="E39"/>
  <c r="E38"/>
  <c r="Q131" i="16"/>
  <c r="Q186"/>
  <c r="S26" i="5" s="1"/>
  <c r="C26" i="34"/>
  <c r="U16" i="16"/>
  <c r="U48"/>
  <c r="U66"/>
  <c r="U21" i="5"/>
  <c r="Q268" i="16"/>
  <c r="Z35" i="32"/>
  <c r="R10"/>
  <c r="C59"/>
  <c r="C39" i="31" s="1"/>
  <c r="N36"/>
  <c r="G21"/>
  <c r="Q16" i="16"/>
  <c r="S10" i="5" s="1"/>
  <c r="Q227" i="16"/>
  <c r="S34" i="5" s="1"/>
  <c r="Q66" i="16"/>
  <c r="S19" i="5" s="1"/>
  <c r="D36" i="6"/>
  <c r="J31" i="30"/>
  <c r="J36" s="1"/>
  <c r="Q285" i="16"/>
  <c r="Y22" i="31" l="1"/>
  <c r="F29" i="85"/>
  <c r="F28" s="1"/>
  <c r="D28"/>
  <c r="I29"/>
  <c r="I28" s="1"/>
  <c r="C29" i="4" s="1"/>
  <c r="D10" i="85"/>
  <c r="I11"/>
  <c r="I10" s="1"/>
  <c r="E29" i="4" s="1"/>
  <c r="R59" i="32"/>
  <c r="L21" i="31"/>
  <c r="L36" s="1"/>
  <c r="E14" i="12"/>
  <c r="G14"/>
  <c r="G18" s="1"/>
  <c r="E10"/>
  <c r="E18" s="1"/>
  <c r="C39" i="4" s="1"/>
  <c r="C10" i="12"/>
  <c r="C18" s="1"/>
  <c r="Z40" i="32"/>
  <c r="Z27"/>
  <c r="Z52"/>
  <c r="Z45"/>
  <c r="Z51"/>
  <c r="Z50" s="1"/>
  <c r="L48"/>
  <c r="Z49"/>
  <c r="Z48" s="1"/>
  <c r="V59"/>
  <c r="L24"/>
  <c r="Z25"/>
  <c r="Z24" s="1"/>
  <c r="L8"/>
  <c r="Z9"/>
  <c r="Z8" s="1"/>
  <c r="Z31"/>
  <c r="L40"/>
  <c r="D12" i="34"/>
  <c r="E12" s="1"/>
  <c r="E30" i="12"/>
  <c r="E38" s="1"/>
  <c r="E51"/>
  <c r="E59" s="1"/>
  <c r="G59" s="1"/>
  <c r="Q482" i="16" s="1"/>
  <c r="U55" i="5"/>
  <c r="F37" i="9"/>
  <c r="E10" i="4" s="1"/>
  <c r="S35" i="5"/>
  <c r="X35" s="1"/>
  <c r="S21"/>
  <c r="X21" s="1"/>
  <c r="U14"/>
  <c r="U19"/>
  <c r="U10"/>
  <c r="U27"/>
  <c r="U12"/>
  <c r="F30" i="7"/>
  <c r="F54"/>
  <c r="X26" i="5"/>
  <c r="X27"/>
  <c r="X19"/>
  <c r="X14"/>
  <c r="X10"/>
  <c r="F109" i="9"/>
  <c r="I12" i="79"/>
  <c r="E26"/>
  <c r="R36" i="31"/>
  <c r="F26" i="35"/>
  <c r="G26" s="1"/>
  <c r="D25"/>
  <c r="F25" s="1"/>
  <c r="G25" s="1"/>
  <c r="G59" i="32"/>
  <c r="Y21" i="31"/>
  <c r="Y26"/>
  <c r="C40"/>
  <c r="X34" i="5"/>
  <c r="B29" i="35"/>
  <c r="Q466" i="16"/>
  <c r="D11" i="6"/>
  <c r="C11"/>
  <c r="Y8" i="31"/>
  <c r="C29" i="35"/>
  <c r="F23"/>
  <c r="F22" s="1"/>
  <c r="G22" s="1"/>
  <c r="G36" i="31"/>
  <c r="Z10" i="32"/>
  <c r="C51" i="12"/>
  <c r="C59" s="1"/>
  <c r="G54" s="1"/>
  <c r="U209" i="16"/>
  <c r="U83"/>
  <c r="F10" i="35"/>
  <c r="F9" s="1"/>
  <c r="G9" s="1"/>
  <c r="D9"/>
  <c r="D12"/>
  <c r="Q209" i="16"/>
  <c r="Q50"/>
  <c r="U50"/>
  <c r="B26" i="34"/>
  <c r="Q83" i="16"/>
  <c r="Q112"/>
  <c r="F112" s="1"/>
  <c r="D108" s="1"/>
  <c r="D112" s="1"/>
  <c r="F22" i="9"/>
  <c r="K31" i="30"/>
  <c r="F64" i="9" s="1"/>
  <c r="G31" i="30"/>
  <c r="G36" s="1"/>
  <c r="F28" i="9"/>
  <c r="B50" i="34"/>
  <c r="C36" i="4" l="1"/>
  <c r="D479" i="16"/>
  <c r="D14" i="7"/>
  <c r="L59" i="32"/>
  <c r="Z59"/>
  <c r="Y39" i="31" s="1"/>
  <c r="G38" i="12"/>
  <c r="D26" i="34"/>
  <c r="E26" s="1"/>
  <c r="C28" i="4"/>
  <c r="E39"/>
  <c r="F39" s="1"/>
  <c r="D482" i="16" s="1"/>
  <c r="S49" i="5"/>
  <c r="S55" s="1"/>
  <c r="S23"/>
  <c r="S29" s="1"/>
  <c r="U23"/>
  <c r="U29" s="1"/>
  <c r="U57" s="1"/>
  <c r="U60" s="1"/>
  <c r="U460" i="16" s="1"/>
  <c r="U479" s="1"/>
  <c r="E18" i="4"/>
  <c r="E51" i="79"/>
  <c r="I26"/>
  <c r="Y36" i="31"/>
  <c r="F20" i="9"/>
  <c r="K36" i="30"/>
  <c r="F29" i="35"/>
  <c r="G29" s="1"/>
  <c r="B51" i="34"/>
  <c r="D29" i="35"/>
  <c r="E36" i="34"/>
  <c r="C44" i="4" l="1"/>
  <c r="F18"/>
  <c r="Y40" i="31"/>
  <c r="D19" i="7"/>
  <c r="H14"/>
  <c r="E36" i="4"/>
  <c r="F29"/>
  <c r="I51" i="79"/>
  <c r="D124" i="9"/>
  <c r="C19" i="4" s="1"/>
  <c r="S57" i="5"/>
  <c r="S60" s="1"/>
  <c r="E17" i="4"/>
  <c r="F67" i="9"/>
  <c r="U493" i="16"/>
  <c r="Q500"/>
  <c r="Q504" s="1"/>
  <c r="F19" i="4" l="1"/>
  <c r="C17"/>
  <c r="D49" i="34"/>
  <c r="C50"/>
  <c r="C51" s="1"/>
  <c r="D174" i="40"/>
  <c r="F71" i="9"/>
  <c r="D31" i="6"/>
  <c r="E49" i="34" l="1"/>
  <c r="D50"/>
  <c r="E14" i="4"/>
  <c r="F14" s="1"/>
  <c r="D487" i="16" s="1"/>
  <c r="D493" s="1"/>
  <c r="C23" i="6"/>
  <c r="C28" s="1"/>
  <c r="D23"/>
  <c r="D28" s="1"/>
  <c r="D35" i="7" l="1"/>
  <c r="D44" s="1"/>
  <c r="D48" s="1"/>
  <c r="D56" s="1"/>
  <c r="E13" i="4"/>
  <c r="D51" i="34"/>
  <c r="E51" s="1"/>
  <c r="E50"/>
  <c r="F44" i="7" l="1"/>
  <c r="F48" s="1"/>
  <c r="F56" s="1"/>
  <c r="F493" i="16"/>
  <c r="X493" l="1"/>
  <c r="D49" i="9"/>
  <c r="E11" i="4" l="1"/>
  <c r="D58" i="9" l="1"/>
  <c r="C11" i="4" s="1"/>
  <c r="E9"/>
  <c r="E28"/>
  <c r="C9" l="1"/>
  <c r="C25" s="1"/>
  <c r="C48" s="1"/>
  <c r="E44"/>
  <c r="E25"/>
  <c r="C59" i="6" l="1"/>
  <c r="E48" i="4"/>
  <c r="Q460" i="16" l="1"/>
  <c r="Q479" s="1"/>
  <c r="Q493" s="1"/>
  <c r="C38" i="6"/>
  <c r="D29" l="1"/>
  <c r="D38" s="1"/>
  <c r="D44" s="1"/>
  <c r="D50" s="1"/>
  <c r="D52" s="1"/>
  <c r="D58" s="1"/>
  <c r="C44"/>
  <c r="C50" s="1"/>
  <c r="C52" s="1"/>
  <c r="C58" l="1"/>
  <c r="C60" s="1"/>
</calcChain>
</file>

<file path=xl/comments1.xml><?xml version="1.0" encoding="utf-8"?>
<comments xmlns="http://schemas.openxmlformats.org/spreadsheetml/2006/main">
  <authors>
    <author>Fanie</author>
  </authors>
  <commentList>
    <comment ref="U109" authorId="0">
      <text>
        <r>
          <rPr>
            <sz val="9"/>
            <color indexed="81"/>
            <rFont val="Tahoma"/>
            <family val="2"/>
          </rPr>
          <t>MIG Grant for Cemetery Vhembe R1,000,000</t>
        </r>
      </text>
    </comment>
    <comment ref="AC465" authorId="0">
      <text>
        <r>
          <rPr>
            <b/>
            <sz val="9"/>
            <color indexed="81"/>
            <rFont val="Tahoma"/>
            <family val="2"/>
          </rPr>
          <t xml:space="preserve">See TB 0607
</t>
        </r>
      </text>
    </comment>
  </commentList>
</comments>
</file>

<file path=xl/comments2.xml><?xml version="1.0" encoding="utf-8"?>
<comments xmlns="http://schemas.openxmlformats.org/spreadsheetml/2006/main">
  <authors>
    <author>Fanie</author>
  </authors>
  <commentList>
    <comment ref="G24" authorId="0">
      <text>
        <r>
          <rPr>
            <sz val="9"/>
            <color indexed="81"/>
            <rFont val="Tahoma"/>
            <family val="2"/>
          </rPr>
          <t>R6,237,984.06 is Loans Redeemed &amp; other capital receipts 0607</t>
        </r>
      </text>
    </comment>
  </commentList>
</comments>
</file>

<file path=xl/connections.xml><?xml version="1.0" encoding="utf-8"?>
<connections xmlns="http://schemas.openxmlformats.org/spreadsheetml/2006/main">
  <connection id="1" name="Connection" type="1" refreshedVersion="2" background="1" saveData="1">
    <dbPr connection="DSN=ProMIS;UID=;;SVOPT=-d dmy;DATABASE=" command="SELECT MEESTER_0.boekjaar, MEESTER_0.groep, MEESTER_0.seksie, MEESTER_0.acc-no, MEESTER_0.beginsaldo, MEESTER_0.eindsaldo, MEESTER_0.dt-kt-ind, MEESTER_0.l1-no_x000d__x000a_FROM pro1.MEESTER MEESTER_0_x000d__x000a_WHERE (MEESTER_0.boekjaar=05) AND (MEESTER_0.acc-no&gt;'0')_x000d__x000a_ORDER BY MEESTER_0.groep, MEESTER_0.seksie, MEESTER_0.acc-no"/>
  </connection>
  <connection id="2" name="Connection1"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3" name="Connection12"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4" name="Connection13"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5" name="Connection141"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6" name="Connection2"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7" name="Connection22"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8" name="Connection23"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 id="9" name="Connection241" type="1" refreshedVersion="2" background="1" saveData="1">
    <dbPr connection="DSN=ProMIS;UID=;;SVOPT=-d dmy;DATABASE=" command="SELECT POSTE_0.boekjaar, POSTE_0.dep-no, POSTE_0.ite-no, POSTE_0.pos-no, POSTE_0.per13-tot, BUDPOS_0.original, DEPDESC_0.dep-desc, ITEMDESC_0.ite-desc, POSDESC_0.pos-desc_x000d__x000a_FROM pro1.BUDPOS BUDPOS_0, pro1.DEPDESC DEPDESC_0, pro1.ITEMDESC ITEMDESC_0, pro1.POSDESC POSDESC_0, pro1.POSTE POSTE_0_x000d__x000a_WHERE BUDPOS_0.boekjaar = POSTE_0.boekjaar AND BUDPOS_0.bookyear = POSTE_0.bookyear AND BUDPOS_0.metro = POSTE_0.metro AND BUDPOS_0.dep-no = POSTE_0.dep-no AND BUDPOS_0.ite-no = POSTE_0.ite-no AND BUDPOS_0.pos-no = POSTE_0.pos-no AND DEPDESC_0.dep-no = BUDPOS_0.dep-no AND DEPDESC_0.dep-no = POSTE_0.dep-no AND ITEMDESC_0.ite-no = BUDPOS_0.ite-no AND ITEMDESC_0.ite-no = POSTE_0.ite-no AND POSDESC_0.dep-no = BUDPOS_0.dep-no AND POSDESC_0.dep-no = DEPDESC_0.dep-no AND POSDESC_0.dep-no = POSTE_0.dep-no AND POSDESC_0.ite-no = BUDPOS_0.ite-no AND POSDESC_0.ite-no = ITEMDESC_0.ite-no AND POSDESC_0.ite-no = POSTE_0.ite-no AND POSDESC_0.metro = BUDPOS_0.metro AND POSDESC_0.metro = POSTE_0.metro AND POSDESC_0.pos-no = BUDPOS_0.pos-no AND POSDESC_0.pos-no = POSTE_0.pos-no AND ((POSTE_0.boekjaar=05))_x000d__x000a_ORDER BY POSTE_0.dep-no, POSTE_0.ite-no, POSTE_0.pos-no"/>
  </connection>
</connections>
</file>

<file path=xl/sharedStrings.xml><?xml version="1.0" encoding="utf-8"?>
<sst xmlns="http://schemas.openxmlformats.org/spreadsheetml/2006/main" count="8652" uniqueCount="2946">
  <si>
    <t>21  Irwin  Street</t>
  </si>
  <si>
    <t>0900</t>
  </si>
  <si>
    <t>Private  Bag  X611</t>
  </si>
  <si>
    <t>Telephone number</t>
  </si>
  <si>
    <t>015  -  534 6100</t>
  </si>
  <si>
    <t>Fax number</t>
  </si>
  <si>
    <t>015  -  534 2513</t>
  </si>
  <si>
    <t>GENERAL INFORMATION</t>
  </si>
  <si>
    <t>Page</t>
  </si>
  <si>
    <t>*  Note 41</t>
  </si>
  <si>
    <t>*  Note 42</t>
  </si>
  <si>
    <t>* APPENDIX A</t>
  </si>
  <si>
    <t>* APPENDIX B</t>
  </si>
  <si>
    <t>BULK</t>
  </si>
  <si>
    <t>CONTRACTED</t>
  </si>
  <si>
    <t>COLLECTION COST</t>
  </si>
  <si>
    <t>RATES</t>
  </si>
  <si>
    <t>AGENCY FEE</t>
  </si>
  <si>
    <t>INTEREST EXTERNAL</t>
  </si>
  <si>
    <t>INTEREST DEBTORS</t>
  </si>
  <si>
    <t>PERMITS</t>
  </si>
  <si>
    <t>EQUITABLE SHARE</t>
  </si>
  <si>
    <t>FMG</t>
  </si>
  <si>
    <t>MSIG</t>
  </si>
  <si>
    <t>REFUSE</t>
  </si>
  <si>
    <t>LICENSES</t>
  </si>
  <si>
    <t>FINES</t>
  </si>
  <si>
    <t>DPLG</t>
  </si>
  <si>
    <t>VOTE NUMBER</t>
  </si>
  <si>
    <t>Public Transport</t>
  </si>
  <si>
    <t>6446</t>
  </si>
  <si>
    <t>Insurance claim - Chisanga</t>
  </si>
  <si>
    <t>Cemetry Upgrade</t>
  </si>
  <si>
    <t>Art &amp; Culture (lotto)</t>
  </si>
  <si>
    <t>The municipality accounts for Value Added Tax on the cash basis.</t>
  </si>
  <si>
    <t>Service charges : Electricity</t>
  </si>
  <si>
    <t xml:space="preserve"> </t>
  </si>
  <si>
    <t>Licensing &amp; permits</t>
  </si>
  <si>
    <t>Revenue for agency services</t>
  </si>
  <si>
    <t>Government grants &amp; subsidies – operating</t>
  </si>
  <si>
    <t>Government grants &amp; subsidies – capital</t>
  </si>
  <si>
    <t>Subsistence</t>
  </si>
  <si>
    <t>010/440/1366</t>
  </si>
  <si>
    <t>Telephone</t>
  </si>
  <si>
    <t>010/440/1367</t>
  </si>
  <si>
    <t>010/440/1368</t>
  </si>
  <si>
    <t>Donations</t>
  </si>
  <si>
    <t>010/440/1369</t>
  </si>
  <si>
    <t>Youth</t>
  </si>
  <si>
    <t>010/440/1391</t>
  </si>
  <si>
    <t>Musina</t>
  </si>
  <si>
    <t>Annual</t>
  </si>
  <si>
    <t>Campaign</t>
  </si>
  <si>
    <t>010/440/1397</t>
  </si>
  <si>
    <t>010/440/1398</t>
  </si>
  <si>
    <t>010/440/1399</t>
  </si>
  <si>
    <t>Poverty</t>
  </si>
  <si>
    <t>Public</t>
  </si>
  <si>
    <t>020/300/1001</t>
  </si>
  <si>
    <t>Basic</t>
  </si>
  <si>
    <t>020/300/1002</t>
  </si>
  <si>
    <t>Overtime</t>
  </si>
  <si>
    <t>020/300/1004</t>
  </si>
  <si>
    <t>020/300/1009</t>
  </si>
  <si>
    <t>020/300/1012</t>
  </si>
  <si>
    <t>020/300/1013</t>
  </si>
  <si>
    <t>Travel</t>
  </si>
  <si>
    <t>020/300/1017</t>
  </si>
  <si>
    <t>Temporary</t>
  </si>
  <si>
    <t>020/310/1021</t>
  </si>
  <si>
    <t>020/310/1022</t>
  </si>
  <si>
    <t>020/310/1023</t>
  </si>
  <si>
    <t>020/310/1024</t>
  </si>
  <si>
    <t>020/310/1029</t>
  </si>
  <si>
    <t>020/370/1071</t>
  </si>
  <si>
    <t>020/380/1111</t>
  </si>
  <si>
    <t>Non-Council</t>
  </si>
  <si>
    <t>020/440/1308</t>
  </si>
  <si>
    <t>020/440/1310</t>
  </si>
  <si>
    <t>Consultants</t>
  </si>
  <si>
    <t>020/440/1311</t>
  </si>
  <si>
    <t>020/440/1321</t>
  </si>
  <si>
    <t>020/440/1327</t>
  </si>
  <si>
    <t>020/440/1347</t>
  </si>
  <si>
    <t>020/440/1348</t>
  </si>
  <si>
    <t>020/440/1364</t>
  </si>
  <si>
    <t>020/440/1366</t>
  </si>
  <si>
    <t>020/440/1367</t>
  </si>
  <si>
    <t>Increase/ (decrease) in shortterm portion of long term loan</t>
  </si>
  <si>
    <t>027/300/1001</t>
  </si>
  <si>
    <t>027/300/1002</t>
  </si>
  <si>
    <t>027/300/1004</t>
  </si>
  <si>
    <t>027/300/1009</t>
  </si>
  <si>
    <t>027/300/1012</t>
  </si>
  <si>
    <t>027/300/1013</t>
  </si>
  <si>
    <t>027/300/1017</t>
  </si>
  <si>
    <t>Tempory</t>
  </si>
  <si>
    <t>027/310/1021</t>
  </si>
  <si>
    <t>027/310/1022</t>
  </si>
  <si>
    <t>027/310/1023</t>
  </si>
  <si>
    <t>027/310/1024</t>
  </si>
  <si>
    <t>027/310/1029</t>
  </si>
  <si>
    <t>027/370/1071</t>
  </si>
  <si>
    <t>027/380/1111</t>
  </si>
  <si>
    <t>027/440/1301</t>
  </si>
  <si>
    <t>027/440/1308</t>
  </si>
  <si>
    <t>027/440/1310</t>
  </si>
  <si>
    <t>027/440/1311</t>
  </si>
  <si>
    <t>027/440/1327</t>
  </si>
  <si>
    <t>027/440/1347</t>
  </si>
  <si>
    <t>027/440/1348</t>
  </si>
  <si>
    <t>027/440/1364</t>
  </si>
  <si>
    <t>027/440/1366</t>
  </si>
  <si>
    <t>027/440/1367</t>
  </si>
  <si>
    <t>Training</t>
  </si>
  <si>
    <t>030/440/1308</t>
  </si>
  <si>
    <t>030/440/1310</t>
  </si>
  <si>
    <t>030/440/1347</t>
  </si>
  <si>
    <t>030/440/1348</t>
  </si>
  <si>
    <t>030/440/1364</t>
  </si>
  <si>
    <t>030/440/1366</t>
  </si>
  <si>
    <t>030/440/1368</t>
  </si>
  <si>
    <t>030/440/1400</t>
  </si>
  <si>
    <t>Job</t>
  </si>
  <si>
    <t>031/040/0081</t>
  </si>
  <si>
    <t>031/300/1001</t>
  </si>
  <si>
    <t>031/300/1004</t>
  </si>
  <si>
    <t>031/310/1021</t>
  </si>
  <si>
    <t>031/310/1022</t>
  </si>
  <si>
    <t>031/310/1023</t>
  </si>
  <si>
    <t>031/310/1024</t>
  </si>
  <si>
    <t>031/310/1029</t>
  </si>
  <si>
    <t>031/370/1071</t>
  </si>
  <si>
    <t>031/380/1111</t>
  </si>
  <si>
    <t>031/440/1311</t>
  </si>
  <si>
    <t>031/440/1327</t>
  </si>
  <si>
    <t>Special</t>
  </si>
  <si>
    <t>031/440/1336</t>
  </si>
  <si>
    <t>Licenses</t>
  </si>
  <si>
    <t>Permits</t>
  </si>
  <si>
    <t>031/440/1347</t>
  </si>
  <si>
    <t>031/440/1348</t>
  </si>
  <si>
    <t>031/440/1364</t>
  </si>
  <si>
    <t>031/440/1366</t>
  </si>
  <si>
    <t>031/440/1367</t>
  </si>
  <si>
    <t>032/300/1001</t>
  </si>
  <si>
    <t>032/300/1004</t>
  </si>
  <si>
    <t>032/310/1021</t>
  </si>
  <si>
    <t>032/310/1022</t>
  </si>
  <si>
    <t>032/310/1023</t>
  </si>
  <si>
    <t>032/310/1024</t>
  </si>
  <si>
    <t>032/310/1029</t>
  </si>
  <si>
    <t>032/370/1071</t>
  </si>
  <si>
    <t>032/380/1101</t>
  </si>
  <si>
    <t>032/380/1215</t>
  </si>
  <si>
    <t>032/440/1311</t>
  </si>
  <si>
    <t>032/440/1347</t>
  </si>
  <si>
    <t>032/440/1348</t>
  </si>
  <si>
    <t>032/440/1353</t>
  </si>
  <si>
    <t>032/440/1364</t>
  </si>
  <si>
    <t>032/440/1366</t>
  </si>
  <si>
    <t>032/440/1367</t>
  </si>
  <si>
    <t>050/080/0141</t>
  </si>
  <si>
    <t>Int</t>
  </si>
  <si>
    <t>050/100/0151</t>
  </si>
  <si>
    <t>National</t>
  </si>
  <si>
    <t>050/300/1001</t>
  </si>
  <si>
    <t>050/300/1002</t>
  </si>
  <si>
    <t>050/300/1004</t>
  </si>
  <si>
    <t>050/300/1009</t>
  </si>
  <si>
    <t>050/300/1012</t>
  </si>
  <si>
    <t>050/300/1013</t>
  </si>
  <si>
    <t>050/300/1017</t>
  </si>
  <si>
    <t>050/310/1021</t>
  </si>
  <si>
    <t>050/310/1022</t>
  </si>
  <si>
    <t>050/310/1023</t>
  </si>
  <si>
    <t>050/310/1024</t>
  </si>
  <si>
    <t>050/310/1029</t>
  </si>
  <si>
    <t>050/370/1071</t>
  </si>
  <si>
    <t>050/380/1111</t>
  </si>
  <si>
    <t>050/440/1303</t>
  </si>
  <si>
    <t>Auditors</t>
  </si>
  <si>
    <t>050/440/1304</t>
  </si>
  <si>
    <t>050/440/1306</t>
  </si>
  <si>
    <t>050/440/1308</t>
  </si>
  <si>
    <t>050/440/1310</t>
  </si>
  <si>
    <t>050/440/1327</t>
  </si>
  <si>
    <t>050/440/1334</t>
  </si>
  <si>
    <t>050/440/1347</t>
  </si>
  <si>
    <t>050/440/1348</t>
  </si>
  <si>
    <t>050/440/1350</t>
  </si>
  <si>
    <t>Protective</t>
  </si>
  <si>
    <t>050/440/1356</t>
  </si>
  <si>
    <t>Regional</t>
  </si>
  <si>
    <t>050/440/1360</t>
  </si>
  <si>
    <t>050/440/1364</t>
  </si>
  <si>
    <t>050/440/1366</t>
  </si>
  <si>
    <t>050/440/1367</t>
  </si>
  <si>
    <t>050/440/1368</t>
  </si>
  <si>
    <t>Indigent</t>
  </si>
  <si>
    <t>050/455/4130</t>
  </si>
  <si>
    <t>050/455/4131</t>
  </si>
  <si>
    <t>051/300/1001</t>
  </si>
  <si>
    <t>051/300/1002</t>
  </si>
  <si>
    <t>051/300/1004</t>
  </si>
  <si>
    <t>051/310/1022</t>
  </si>
  <si>
    <t>051/310/1023</t>
  </si>
  <si>
    <t>051/310/1024</t>
  </si>
  <si>
    <t>051/310/1029</t>
  </si>
  <si>
    <t>051/440/1327</t>
  </si>
  <si>
    <t>052/300/1001</t>
  </si>
  <si>
    <t>052/300/1002</t>
  </si>
  <si>
    <t>052/300/1004</t>
  </si>
  <si>
    <t>052/300/1012</t>
  </si>
  <si>
    <t>052/300/1013</t>
  </si>
  <si>
    <t>052/310/1021</t>
  </si>
  <si>
    <t>052/310/1022</t>
  </si>
  <si>
    <t>052/310/1023</t>
  </si>
  <si>
    <t>052/310/1024</t>
  </si>
  <si>
    <t>082/440/1111</t>
  </si>
  <si>
    <t>082/440/1311</t>
  </si>
  <si>
    <t>084/040/0041</t>
  </si>
  <si>
    <t>084/040/0042</t>
  </si>
  <si>
    <t>084/040/0043</t>
  </si>
  <si>
    <t>084/040/0044</t>
  </si>
  <si>
    <t>084/300/1001</t>
  </si>
  <si>
    <t>084/300/1002</t>
  </si>
  <si>
    <t>084/300/1004</t>
  </si>
  <si>
    <t>084/300/1005</t>
  </si>
  <si>
    <t>084/300/1009</t>
  </si>
  <si>
    <t>084/300/1012</t>
  </si>
  <si>
    <t>084/310/1021</t>
  </si>
  <si>
    <t>084/310/1022</t>
  </si>
  <si>
    <t>084/310/1023</t>
  </si>
  <si>
    <t>084/310/1024</t>
  </si>
  <si>
    <t>084/310/1029</t>
  </si>
  <si>
    <t>084/370/1071</t>
  </si>
  <si>
    <t>084/380/1111</t>
  </si>
  <si>
    <t>084/380/1130</t>
  </si>
  <si>
    <t>Distribution</t>
  </si>
  <si>
    <t>084/380/1215</t>
  </si>
  <si>
    <t>084/380/1220</t>
  </si>
  <si>
    <t>084/390/1231</t>
  </si>
  <si>
    <t>084/440/1251</t>
  </si>
  <si>
    <t>Bulk</t>
  </si>
  <si>
    <t>084/440/1311</t>
  </si>
  <si>
    <t>084/440/1325</t>
  </si>
  <si>
    <t>084/440/1327</t>
  </si>
  <si>
    <t>084/440/1335</t>
  </si>
  <si>
    <t>084/440/1348</t>
  </si>
  <si>
    <t>084/440/1350</t>
  </si>
  <si>
    <t>084/440/1364</t>
  </si>
  <si>
    <t>084/440/1366</t>
  </si>
  <si>
    <t>084/440/1367</t>
  </si>
  <si>
    <t>085/380/1111</t>
  </si>
  <si>
    <t>085/380/1158</t>
  </si>
  <si>
    <t>085/440/1251</t>
  </si>
  <si>
    <t>085/440/1325</t>
  </si>
  <si>
    <t>085/440/1327</t>
  </si>
  <si>
    <t>085/440/1348</t>
  </si>
  <si>
    <t>085/440/1350</t>
  </si>
  <si>
    <t>086/370/1071</t>
  </si>
  <si>
    <t>086/380/1215</t>
  </si>
  <si>
    <t>086/440/1311</t>
  </si>
  <si>
    <t>086/440/1327</t>
  </si>
  <si>
    <t>086/440/1348</t>
  </si>
  <si>
    <t>086/440/1350</t>
  </si>
  <si>
    <t>087/300/1001</t>
  </si>
  <si>
    <t>087/300/1004</t>
  </si>
  <si>
    <t>087/310/1021</t>
  </si>
  <si>
    <t>087/310/1022</t>
  </si>
  <si>
    <t>087/310/1023</t>
  </si>
  <si>
    <t>087/310/1024</t>
  </si>
  <si>
    <t>087/310/1029</t>
  </si>
  <si>
    <t>087/440/1301</t>
  </si>
  <si>
    <t>087/440/1364</t>
  </si>
  <si>
    <t>087/440/1366</t>
  </si>
  <si>
    <t>087/440/1371</t>
  </si>
  <si>
    <t>CHANGE IN ACCOUNTING POLICY - IMPLEMENTATION OF GAMAP</t>
  </si>
  <si>
    <t>The following adjustments were made to amounts previously reported in the annual financial statements of the Municipality arising from the implementation of GAMAP:-</t>
  </si>
  <si>
    <t>Statutory Funds</t>
  </si>
  <si>
    <t>Balance previously reported:-</t>
  </si>
  <si>
    <t>Implementation of GAMAP</t>
  </si>
  <si>
    <t>Provisions and Reserves</t>
  </si>
  <si>
    <t>Property, plant and equipment</t>
  </si>
  <si>
    <t>Accumulated Depreciation</t>
  </si>
  <si>
    <t>Current provisions</t>
  </si>
  <si>
    <t>Accumulated surplus</t>
  </si>
  <si>
    <t xml:space="preserve">                                  - Suspense accounts</t>
  </si>
  <si>
    <t xml:space="preserve">                                  - Provisions</t>
  </si>
  <si>
    <t>Capital Development Fund</t>
  </si>
  <si>
    <t>Township Development Suspense &amp; Land Trust</t>
  </si>
  <si>
    <t>Loans redeemed and other capital receipts</t>
  </si>
  <si>
    <t>Loan Redemption Fund</t>
  </si>
  <si>
    <t>Transferred to Government Grant Reserve</t>
  </si>
  <si>
    <t>Transferred to Donations and Public Contribution Reserve</t>
  </si>
  <si>
    <t>Transferred to Capitalisaton Reserve</t>
  </si>
  <si>
    <t>Transferred to Capital Replacement Reserve</t>
  </si>
  <si>
    <t>Backlog depreciation: Land and buildings</t>
  </si>
  <si>
    <t>Backlog depreciation: Infrastructure</t>
  </si>
  <si>
    <t>Backlog depreciation: Community</t>
  </si>
  <si>
    <t>Backlog depreciation: Other</t>
  </si>
  <si>
    <t>Transferred from Accumulated Surplus</t>
  </si>
  <si>
    <t>Other adjustments - Appropriations</t>
  </si>
  <si>
    <t>Department of Provincial and Local Government (DPLG)</t>
  </si>
  <si>
    <t>This grant was used to erect a mini water purification/package plant to provide water in the rural area.  The conditions of the grant were met and no funds have been withheld</t>
  </si>
  <si>
    <t>Sundry loans</t>
  </si>
  <si>
    <t>Services:</t>
  </si>
  <si>
    <t>OTHER REVENUE</t>
  </si>
  <si>
    <t>EMPLOYEE RELATED COSTS</t>
  </si>
  <si>
    <t>Salaries and wages</t>
  </si>
  <si>
    <t>Social contributions:</t>
  </si>
  <si>
    <t>Pension deductions</t>
  </si>
  <si>
    <t>Medical aid funds</t>
  </si>
  <si>
    <t>Group insurance</t>
  </si>
  <si>
    <t>Housing subsidy</t>
  </si>
  <si>
    <t>Unemployment Insurance Fund</t>
  </si>
  <si>
    <t>Adjustment for</t>
  </si>
  <si>
    <t>Increase/(decrease) in deposits</t>
  </si>
  <si>
    <t>Capital Charges</t>
  </si>
  <si>
    <t>11.</t>
  </si>
  <si>
    <t>INTANGIBLE ASSETS</t>
  </si>
  <si>
    <t>Gain on disposal of property, plant &amp; equipment</t>
  </si>
  <si>
    <t xml:space="preserve">Contributions to provisions </t>
  </si>
  <si>
    <t>Old Age home</t>
  </si>
  <si>
    <t>Department of Public Works</t>
  </si>
  <si>
    <t>10068/1</t>
  </si>
  <si>
    <t>OPERATING LEASES</t>
  </si>
  <si>
    <t>Balance outstanding (to)/from SARS</t>
  </si>
  <si>
    <t>Tourism</t>
  </si>
  <si>
    <t>LED</t>
  </si>
  <si>
    <t>Stores</t>
  </si>
  <si>
    <t>Workshop</t>
  </si>
  <si>
    <t>IDP</t>
  </si>
  <si>
    <t>Absa Bank : Musina</t>
  </si>
  <si>
    <t>Account number : 2050550179</t>
  </si>
  <si>
    <t>Type : cheque account</t>
  </si>
  <si>
    <t>Account number : 4063288025</t>
  </si>
  <si>
    <t>Investment property</t>
  </si>
  <si>
    <t xml:space="preserve">  121–150 days</t>
  </si>
  <si>
    <t>Total consumer debtors</t>
  </si>
  <si>
    <t xml:space="preserve">Total </t>
  </si>
  <si>
    <t>Total Other Debtors</t>
  </si>
  <si>
    <t>The municipality has the following bank accounts:</t>
  </si>
  <si>
    <t>Net cash from investment activities</t>
  </si>
  <si>
    <t>CASH FLOW FROM FINANCING ACTIVITIES</t>
  </si>
  <si>
    <t>Increase/(decrease) in long term loans</t>
  </si>
  <si>
    <t>Net cash from financing activities</t>
  </si>
  <si>
    <t>Increase/(decrease) in cash and cash equivalents</t>
  </si>
  <si>
    <t>Cash and cash equivalents at beginning of the year</t>
  </si>
  <si>
    <t>Cash and cash equivalents at end of the year</t>
  </si>
  <si>
    <t>Balance at beginning of the year</t>
  </si>
  <si>
    <t>Income</t>
  </si>
  <si>
    <t>RESERVES</t>
  </si>
  <si>
    <t>Expenditure</t>
  </si>
  <si>
    <t>Government Grants Reserve (utilized)</t>
  </si>
  <si>
    <t xml:space="preserve">Donations and Public Contribution Reserve (utilized)   </t>
  </si>
  <si>
    <t>Disposals</t>
  </si>
  <si>
    <t>Annuity loans</t>
  </si>
  <si>
    <t>Sub-Total</t>
  </si>
  <si>
    <t>Less: Current portion transferred to current liabilities</t>
  </si>
  <si>
    <t>Total External Loans</t>
  </si>
  <si>
    <t>Refer to Appendix A for more detail on long term liabilities.</t>
  </si>
  <si>
    <t>CONSUMER DEPOSITS</t>
  </si>
  <si>
    <t>Other</t>
  </si>
  <si>
    <t>Total consumer deposits</t>
  </si>
  <si>
    <t>Council</t>
  </si>
  <si>
    <t>010/020/0001</t>
  </si>
  <si>
    <t>Res</t>
  </si>
  <si>
    <t>010/020/0002</t>
  </si>
  <si>
    <t>Indus</t>
  </si>
  <si>
    <t>010/020/0003</t>
  </si>
  <si>
    <t>Com</t>
  </si>
  <si>
    <t>010/020/0004</t>
  </si>
  <si>
    <t>Farm</t>
  </si>
  <si>
    <t>010/020/0022</t>
  </si>
  <si>
    <t>Sundry</t>
  </si>
  <si>
    <t>010/110/9999</t>
  </si>
  <si>
    <t>AUCTION</t>
  </si>
  <si>
    <t>010/140/0202</t>
  </si>
  <si>
    <t>Vhembe</t>
  </si>
  <si>
    <t>Grants</t>
  </si>
  <si>
    <t>Transfer</t>
  </si>
  <si>
    <t>010/300/1018</t>
  </si>
  <si>
    <t>010/310/1023</t>
  </si>
  <si>
    <t>Contribution</t>
  </si>
  <si>
    <t>Medical</t>
  </si>
  <si>
    <t>010/340/1051</t>
  </si>
  <si>
    <t>Allowance</t>
  </si>
  <si>
    <t>Mayor</t>
  </si>
  <si>
    <t>010/340/1054</t>
  </si>
  <si>
    <t>010/340/1057</t>
  </si>
  <si>
    <t>010/340/1062</t>
  </si>
  <si>
    <t>010/340/1064</t>
  </si>
  <si>
    <t>Cont</t>
  </si>
  <si>
    <t>010/370/1071</t>
  </si>
  <si>
    <t>Provision</t>
  </si>
  <si>
    <t>010/380/1102</t>
  </si>
  <si>
    <t>010/380/1111</t>
  </si>
  <si>
    <t>Machinery</t>
  </si>
  <si>
    <t>010/390/1231</t>
  </si>
  <si>
    <t>External</t>
  </si>
  <si>
    <t>010/440/1263</t>
  </si>
  <si>
    <t>Contracted</t>
  </si>
  <si>
    <t>010/440/1284</t>
  </si>
  <si>
    <t>Internal</t>
  </si>
  <si>
    <t>010/440/1285</t>
  </si>
  <si>
    <t>Grant</t>
  </si>
  <si>
    <t>Mayoral</t>
  </si>
  <si>
    <t>010/440/1301</t>
  </si>
  <si>
    <t>Advertising</t>
  </si>
  <si>
    <t>010/440/1308</t>
  </si>
  <si>
    <t>Conference</t>
  </si>
  <si>
    <t>010/440/1310</t>
  </si>
  <si>
    <t>Community</t>
  </si>
  <si>
    <t>010/440/1311</t>
  </si>
  <si>
    <t>Consumable</t>
  </si>
  <si>
    <t>010/440/1320</t>
  </si>
  <si>
    <t>Entertain</t>
  </si>
  <si>
    <t>010/440/1322</t>
  </si>
  <si>
    <t>Entertainment</t>
  </si>
  <si>
    <t>010/440/1325</t>
  </si>
  <si>
    <t>Fuel</t>
  </si>
  <si>
    <t>010/440/1335</t>
  </si>
  <si>
    <t>License</t>
  </si>
  <si>
    <t>010/440/1340</t>
  </si>
  <si>
    <t>Member</t>
  </si>
  <si>
    <t>010/440/1341</t>
  </si>
  <si>
    <t>Membership</t>
  </si>
  <si>
    <t>010/440/1347</t>
  </si>
  <si>
    <t>Postage</t>
  </si>
  <si>
    <t>010/440/1348</t>
  </si>
  <si>
    <t>Printing</t>
  </si>
  <si>
    <t>010/440/1364</t>
  </si>
  <si>
    <t>9515</t>
  </si>
  <si>
    <t>9516</t>
  </si>
  <si>
    <t>9603</t>
  </si>
  <si>
    <t>BANK</t>
  </si>
  <si>
    <t>CONTROL ACCOUNT</t>
  </si>
  <si>
    <t>DBSA - Civic centre phase 1(a)</t>
  </si>
  <si>
    <t>DBSA - Civic centre phase 2</t>
  </si>
  <si>
    <t>Lotto Lesley Manyatela</t>
  </si>
  <si>
    <t>Poster and Hall</t>
  </si>
  <si>
    <t>Retention Solid Waste</t>
  </si>
  <si>
    <t>Renevation of Community Hall</t>
  </si>
  <si>
    <t>Dormant account FNB / Standard Bank</t>
  </si>
  <si>
    <t>Accumulated Depretiation Infrastructure Assets</t>
  </si>
  <si>
    <t>Accumulated Depretiation Community Assets</t>
  </si>
  <si>
    <t>Accumulated Depretiation Other Assets</t>
  </si>
  <si>
    <t>Leave</t>
  </si>
  <si>
    <t>Current assets</t>
  </si>
  <si>
    <t>Current liabilities</t>
  </si>
  <si>
    <t>NET ASSETS &amp; LIABILITIES</t>
  </si>
  <si>
    <t>Net Assets</t>
  </si>
  <si>
    <t>Government grant reserve</t>
  </si>
  <si>
    <t>Accumulated surplus/(deficit)</t>
  </si>
  <si>
    <t>Non-current liabilities</t>
  </si>
  <si>
    <t>Long-term liabilities</t>
  </si>
  <si>
    <t>Post employment benefits</t>
  </si>
  <si>
    <t>Consumer deposits</t>
  </si>
  <si>
    <t>Provisions</t>
  </si>
  <si>
    <t>Unspent conditional grants and receipts</t>
  </si>
  <si>
    <t>Appropriation</t>
  </si>
  <si>
    <t>Cheque number</t>
  </si>
  <si>
    <t>APPENDIX G</t>
  </si>
  <si>
    <t>DEVIATION FROM PROCUREMENT PROCESSES</t>
  </si>
  <si>
    <t>Supply Chain Regulation 36(2)</t>
  </si>
  <si>
    <t>Town Engineer</t>
  </si>
  <si>
    <t>081/440/1327</t>
  </si>
  <si>
    <t>081/440/1335</t>
  </si>
  <si>
    <t>081/440/1348</t>
  </si>
  <si>
    <t>081/440/1350</t>
  </si>
  <si>
    <t>081/440/1364</t>
  </si>
  <si>
    <t>081/440/1366</t>
  </si>
  <si>
    <t>081/440/1367</t>
  </si>
  <si>
    <t>082/161/1298</t>
  </si>
  <si>
    <t>082/161/1299</t>
  </si>
  <si>
    <t>STATEMENT OF FINANCIAL POSITION</t>
  </si>
  <si>
    <t>2.</t>
  </si>
  <si>
    <t>4.</t>
  </si>
  <si>
    <t>5.</t>
  </si>
  <si>
    <t>6.</t>
  </si>
  <si>
    <t>7.</t>
  </si>
  <si>
    <t>8.</t>
  </si>
  <si>
    <t>9.</t>
  </si>
  <si>
    <t>12.</t>
  </si>
  <si>
    <t>13.</t>
  </si>
  <si>
    <t>14.</t>
  </si>
  <si>
    <t>15.</t>
  </si>
  <si>
    <t>CONTINGENT ASSETS</t>
  </si>
  <si>
    <t>Budget</t>
  </si>
  <si>
    <t>Technical Services</t>
  </si>
  <si>
    <t>Lease Liability</t>
  </si>
  <si>
    <t>APPENDIX A</t>
  </si>
  <si>
    <t>SHEDULE OF EXTERNAL LOANS</t>
  </si>
  <si>
    <t>Redeemed or written off during the period</t>
  </si>
  <si>
    <t>-</t>
  </si>
  <si>
    <t>Total Annuity Loans</t>
  </si>
  <si>
    <t>External Loans</t>
  </si>
  <si>
    <t>Loan No.</t>
  </si>
  <si>
    <t>Redeemable</t>
  </si>
  <si>
    <t xml:space="preserve"> Interest paid during the period</t>
  </si>
  <si>
    <t>Received during the period</t>
  </si>
  <si>
    <t>APPENDIX B</t>
  </si>
  <si>
    <t>ANALYSIS OF PROPERTY, PLANT &amp; EQUIPMENT</t>
  </si>
  <si>
    <t>HISTORICAL COST</t>
  </si>
  <si>
    <t>ACCUMULATED DEPRECIATION</t>
  </si>
  <si>
    <t xml:space="preserve">          Additions/ Transfers</t>
  </si>
  <si>
    <t xml:space="preserve">                   Under Construction</t>
  </si>
  <si>
    <t xml:space="preserve">            Additions/ Transfers</t>
  </si>
  <si>
    <t xml:space="preserve">             Carrying Value</t>
  </si>
  <si>
    <t>INFRASTRUCTURE</t>
  </si>
  <si>
    <t>Roads, pavements, bridges &amp; stormwater</t>
  </si>
  <si>
    <t>Water reservoirs &amp; reticulation</t>
  </si>
  <si>
    <t>Car parks, bus terminals &amp; taxi ranks</t>
  </si>
  <si>
    <t>Electricity reticulation</t>
  </si>
  <si>
    <t>Sewerage purification &amp; reticulation</t>
  </si>
  <si>
    <t>Housing</t>
  </si>
  <si>
    <t>Street lighting</t>
  </si>
  <si>
    <t>Refuse sites</t>
  </si>
  <si>
    <t>Other (town planning &amp; development</t>
  </si>
  <si>
    <t>COMMUNITY ASSETS</t>
  </si>
  <si>
    <t>Libraries</t>
  </si>
  <si>
    <t>Clinics</t>
  </si>
  <si>
    <t>Employee related costs</t>
  </si>
  <si>
    <t>Disposal of property, plant and equipment</t>
  </si>
  <si>
    <t>Property Rates</t>
  </si>
  <si>
    <t xml:space="preserve">  31–60     days</t>
  </si>
  <si>
    <t xml:space="preserve">  61–90     days</t>
  </si>
  <si>
    <t xml:space="preserve">  91–120   days</t>
  </si>
  <si>
    <t>Trade Creditors</t>
  </si>
  <si>
    <t>Sundry debtors</t>
  </si>
  <si>
    <t>VAT</t>
  </si>
  <si>
    <t>Total creditors</t>
  </si>
  <si>
    <t>Local government transitional grant</t>
  </si>
  <si>
    <t>Municipal infrastructure grant</t>
  </si>
  <si>
    <t>Integrated national electricity programme</t>
  </si>
  <si>
    <t>Total conditional grants and receipts</t>
  </si>
  <si>
    <t>Cost</t>
  </si>
  <si>
    <t>Acquisitions</t>
  </si>
  <si>
    <t>Reconciliation of Carrying Value</t>
  </si>
  <si>
    <t>Cash generated from / (utilized in) operations</t>
  </si>
  <si>
    <t>Interest received</t>
  </si>
  <si>
    <t>Net cash from operating activities</t>
  </si>
  <si>
    <t>CASH FLOW FROM INVESTMENT ACTIVITIES</t>
  </si>
  <si>
    <t>Purchase of property, plant and equipment</t>
  </si>
  <si>
    <t>Proceeds on disposal of property, plant and equipment</t>
  </si>
  <si>
    <t>920</t>
  </si>
  <si>
    <t>940</t>
  </si>
  <si>
    <t>960</t>
  </si>
  <si>
    <t>ACCOUNT NO.</t>
  </si>
  <si>
    <t>DESCRIPTION</t>
  </si>
  <si>
    <t>CLOSING BAL 06/07</t>
  </si>
  <si>
    <t>PROVISIONS</t>
  </si>
  <si>
    <t>Balance at beginning of year</t>
  </si>
  <si>
    <t>Expenditure incurred</t>
  </si>
  <si>
    <t>500</t>
  </si>
  <si>
    <t>5004</t>
  </si>
  <si>
    <t>SECTION TOTAL:</t>
  </si>
  <si>
    <t>FUNDS</t>
  </si>
  <si>
    <t>520</t>
  </si>
  <si>
    <t>540</t>
  </si>
  <si>
    <t>5401</t>
  </si>
  <si>
    <t>Provision bad debts</t>
  </si>
  <si>
    <t>PROVISIONS AND RESERVES</t>
  </si>
  <si>
    <t>560</t>
  </si>
  <si>
    <t>5600</t>
  </si>
  <si>
    <t>Accumulated deficit/surplus</t>
  </si>
  <si>
    <t>ACCUMULATED DEFICIT/RETAINED SURPLUS</t>
  </si>
  <si>
    <t>600</t>
  </si>
  <si>
    <t>6012</t>
  </si>
  <si>
    <t>Loans Local Government N/M</t>
  </si>
  <si>
    <t>6020</t>
  </si>
  <si>
    <t>Loan DBSA - Compactor</t>
  </si>
  <si>
    <t>6021</t>
  </si>
  <si>
    <t>Loans Vehicles</t>
  </si>
  <si>
    <t>6030</t>
  </si>
  <si>
    <t>Loans Inca</t>
  </si>
  <si>
    <t>6032</t>
  </si>
  <si>
    <t>Lesley Manyatela stadium</t>
  </si>
  <si>
    <t>6037</t>
  </si>
  <si>
    <t>DBSA - managers offices</t>
  </si>
  <si>
    <t>6039</t>
  </si>
  <si>
    <t>DBSA - roads 2</t>
  </si>
  <si>
    <t>6041</t>
  </si>
  <si>
    <t>DBSA - Civic centre phase 1</t>
  </si>
  <si>
    <t>LOANS : LONG TERM : GOVERNMENT</t>
  </si>
  <si>
    <t>620</t>
  </si>
  <si>
    <t>6201</t>
  </si>
  <si>
    <t>DEPOSITS : CONSUMER</t>
  </si>
  <si>
    <t>640</t>
  </si>
  <si>
    <t>6400</t>
  </si>
  <si>
    <t>Accounts payable</t>
  </si>
  <si>
    <t>6401</t>
  </si>
  <si>
    <t>Creditors - provisions</t>
  </si>
  <si>
    <t>6422</t>
  </si>
  <si>
    <t>6423</t>
  </si>
  <si>
    <t>Vat - control</t>
  </si>
  <si>
    <t>CREDITORS - TRADE</t>
  </si>
  <si>
    <t>641</t>
  </si>
  <si>
    <t>6419</t>
  </si>
  <si>
    <t>Community development</t>
  </si>
  <si>
    <t>6439</t>
  </si>
  <si>
    <t>Renovation cattle pounds</t>
  </si>
  <si>
    <t>6440</t>
  </si>
  <si>
    <t>6442</t>
  </si>
  <si>
    <t>6444</t>
  </si>
  <si>
    <t xml:space="preserve">  GENERAL  INFORMATION</t>
  </si>
  <si>
    <t>C  Mahasela</t>
  </si>
  <si>
    <t>Councillor</t>
  </si>
  <si>
    <t>G  Ramushwana</t>
  </si>
  <si>
    <t>GK  Sethlako</t>
  </si>
  <si>
    <t>PM Mulaudzi</t>
  </si>
  <si>
    <t>E Pesulo</t>
  </si>
  <si>
    <t>MC Nethavani</t>
  </si>
  <si>
    <t>MS Phiri</t>
  </si>
  <si>
    <t>ES Shirilele</t>
  </si>
  <si>
    <t>MM Sithole</t>
  </si>
  <si>
    <t>GRADING  OF  COUNCIL</t>
  </si>
  <si>
    <t>Grade  2</t>
  </si>
  <si>
    <t>AUDITORS</t>
  </si>
  <si>
    <t>Auditor - General</t>
  </si>
  <si>
    <t>BANKERS</t>
  </si>
  <si>
    <t>ABSA  Limited</t>
  </si>
  <si>
    <t>REGISTERED  OFFICE</t>
  </si>
  <si>
    <t>Civic  Centre</t>
  </si>
  <si>
    <t>Under Construction</t>
  </si>
  <si>
    <t>Additions/ Transfers</t>
  </si>
  <si>
    <t xml:space="preserve"> Disposals</t>
  </si>
  <si>
    <t xml:space="preserve">            Disposals</t>
  </si>
  <si>
    <t>EXECUTIVE COUNCIL</t>
  </si>
  <si>
    <t>Executive Council</t>
  </si>
  <si>
    <t>FINANCE &amp; ADMINISTRATION</t>
  </si>
  <si>
    <t>Finance</t>
  </si>
  <si>
    <t>Information technology</t>
  </si>
  <si>
    <t>Railway Lines</t>
  </si>
  <si>
    <t>Security Measures</t>
  </si>
  <si>
    <t>Bins and Containers</t>
  </si>
  <si>
    <t>Furniture and Fittings</t>
  </si>
  <si>
    <t>Buildings</t>
  </si>
  <si>
    <t>Emergency Equipment</t>
  </si>
  <si>
    <t>Truvello Radar</t>
  </si>
  <si>
    <t>Admin Services</t>
  </si>
  <si>
    <t>Legal Services</t>
  </si>
  <si>
    <t>Municipal Buildings</t>
  </si>
  <si>
    <t>Public Services</t>
  </si>
  <si>
    <t>Estates &amp; Pound</t>
  </si>
  <si>
    <t>Polution Control</t>
  </si>
  <si>
    <t>Parks &amp; recreation</t>
  </si>
  <si>
    <t>PARKS &amp; RECREATION</t>
  </si>
  <si>
    <t>Clearance Certificates</t>
  </si>
  <si>
    <t>Building Plans</t>
  </si>
  <si>
    <t xml:space="preserve">  </t>
  </si>
  <si>
    <t>- Written to accumulated surplus/(deficit)</t>
  </si>
  <si>
    <t>* Statutory Funds</t>
  </si>
  <si>
    <t>* Reserves</t>
  </si>
  <si>
    <t>Advanced payments</t>
  </si>
  <si>
    <t>Correction vote</t>
  </si>
  <si>
    <t>Consumers paid in advance</t>
  </si>
  <si>
    <t>Prepaid Electricity</t>
  </si>
  <si>
    <t>Sport Fields</t>
  </si>
  <si>
    <t>Car Port</t>
  </si>
  <si>
    <t xml:space="preserve">  121–150+ days</t>
  </si>
  <si>
    <t>Services - Elec</t>
  </si>
  <si>
    <t>Previously reported amounts written off that no longer meet the criteria of an asset</t>
  </si>
  <si>
    <t>Sundry Debtors</t>
  </si>
  <si>
    <t>Difference in nett asssets and Zelpy investment</t>
  </si>
  <si>
    <t>Additions 0607 source of funding grants</t>
  </si>
  <si>
    <t>Revaluation of land</t>
  </si>
  <si>
    <t>Funds and reserves</t>
  </si>
  <si>
    <t>Difference in nett assets and invesetment in Zelpy</t>
  </si>
  <si>
    <t>Excessive Provisions and Reserves no longer permitted (see 38.2 above)</t>
  </si>
  <si>
    <t>- Transferred to Creditors</t>
  </si>
  <si>
    <t>* APPENDIX C</t>
  </si>
  <si>
    <t>* APPENDIX D</t>
  </si>
  <si>
    <t>* APPENDIX E(1)</t>
  </si>
  <si>
    <t>* APPENDIX E(2)</t>
  </si>
  <si>
    <t>* APPENDIX F</t>
  </si>
  <si>
    <t>* APPENDIX G</t>
  </si>
  <si>
    <t>SCHEDULE OF EXTERNAL LOANS</t>
  </si>
  <si>
    <t>ANALYSIS OF PROPERTY, PLANT AND EQUIPMENT</t>
  </si>
  <si>
    <t>SEGMENTAL ANALYSIS OF PROPERTY, PLANT AND EQUIPMENT</t>
  </si>
  <si>
    <t>DEVIATION FROM PROCUREMENT PROCESSESS</t>
  </si>
  <si>
    <t>Chief Financial Officer</t>
  </si>
  <si>
    <t>Manager Corporate Services</t>
  </si>
  <si>
    <t>Manager Community Services</t>
  </si>
  <si>
    <t>Manager Technical Services</t>
  </si>
  <si>
    <t>The Mayor and Chief Whip are full time.  Each is provided with an office and secretarial support at the cost of Council.</t>
  </si>
  <si>
    <t>The Mayor has use of a Council owned vehicle and driver for official duties.</t>
  </si>
  <si>
    <t>Current portion of long term liabilities</t>
  </si>
  <si>
    <t>Total Net Assets and Liabilities</t>
  </si>
  <si>
    <t>ASSETS</t>
  </si>
  <si>
    <t>Non-current assets</t>
  </si>
  <si>
    <t>Intangible assets</t>
  </si>
  <si>
    <t>Property, plant &amp; equipment</t>
  </si>
  <si>
    <t>Investments property</t>
  </si>
  <si>
    <t>Investments</t>
  </si>
  <si>
    <t>Inventory</t>
  </si>
  <si>
    <t>Short-term investments</t>
  </si>
  <si>
    <t>Consumer debtors</t>
  </si>
  <si>
    <t>Other debtors</t>
  </si>
  <si>
    <t>Current portion of long-term receivables</t>
  </si>
  <si>
    <t>Total Assets</t>
  </si>
  <si>
    <t>Note</t>
  </si>
  <si>
    <t>as at</t>
  </si>
  <si>
    <t>STATEMENT OF FINANCIAL PERFORMANCE</t>
  </si>
  <si>
    <t>for the year ended</t>
  </si>
  <si>
    <t>REVENUE</t>
  </si>
  <si>
    <t>Actual</t>
  </si>
  <si>
    <t>Property rates</t>
  </si>
  <si>
    <t>Service charges:</t>
  </si>
  <si>
    <t>Electricity</t>
  </si>
  <si>
    <t>Refuse Removal</t>
  </si>
  <si>
    <t>Sewerage</t>
  </si>
  <si>
    <t>Water</t>
  </si>
  <si>
    <t>Rental of facilities and equipment</t>
  </si>
  <si>
    <t>Interest earned – external investments</t>
  </si>
  <si>
    <t>Interest earned – outstanding debtors</t>
  </si>
  <si>
    <t>Fines</t>
  </si>
  <si>
    <t>Licenses and permits</t>
  </si>
  <si>
    <t>Government grants and subsidies received - operating</t>
  </si>
  <si>
    <t>Government grants and subsidies received - capital</t>
  </si>
  <si>
    <t>Public contributions, donated and contributed property, plant and equipment</t>
  </si>
  <si>
    <t>Other revenue</t>
  </si>
  <si>
    <t>Total Revenue</t>
  </si>
  <si>
    <t>EXPENDITURE</t>
  </si>
  <si>
    <t>Remuneration of councillors</t>
  </si>
  <si>
    <t>Bad debts</t>
  </si>
  <si>
    <t>Collection costs</t>
  </si>
  <si>
    <t>Depreciation</t>
  </si>
  <si>
    <t>Repairs and maintenance</t>
  </si>
  <si>
    <t>Interest paid</t>
  </si>
  <si>
    <t>Contracted services</t>
  </si>
  <si>
    <t>Loss on disposal of property, plant and equipment</t>
  </si>
  <si>
    <t>052/310/1029</t>
  </si>
  <si>
    <t>052/370/1071</t>
  </si>
  <si>
    <t>052/380/1106</t>
  </si>
  <si>
    <t>Computer</t>
  </si>
  <si>
    <t>052/440/1308</t>
  </si>
  <si>
    <t>052/440/1310</t>
  </si>
  <si>
    <t>052/440/1336</t>
  </si>
  <si>
    <t>052/440/1358</t>
  </si>
  <si>
    <t>Rent</t>
  </si>
  <si>
    <t>052/440/1359</t>
  </si>
  <si>
    <t>Hardware</t>
  </si>
  <si>
    <t>052/440/1364</t>
  </si>
  <si>
    <t>052/440/1366</t>
  </si>
  <si>
    <t>052/762/7606</t>
  </si>
  <si>
    <t>Server,</t>
  </si>
  <si>
    <t>066/380/1215</t>
  </si>
  <si>
    <t>Coun</t>
  </si>
  <si>
    <t>066/380/1220</t>
  </si>
  <si>
    <t>066/390/1231</t>
  </si>
  <si>
    <t>066/440/1310</t>
  </si>
  <si>
    <t>066/440/1311</t>
  </si>
  <si>
    <t>066/440/1325</t>
  </si>
  <si>
    <t>066/440/1327</t>
  </si>
  <si>
    <t>066/440/1335</t>
  </si>
  <si>
    <t>066/440/1348</t>
  </si>
  <si>
    <t>066/440/1350</t>
  </si>
  <si>
    <t>066/440/1367</t>
  </si>
  <si>
    <t>RENTAL</t>
  </si>
  <si>
    <t>080/300/1001</t>
  </si>
  <si>
    <t>080/300/1002</t>
  </si>
  <si>
    <t>080/300/1004</t>
  </si>
  <si>
    <t>080/300/1009</t>
  </si>
  <si>
    <t>080/300/1012</t>
  </si>
  <si>
    <t>080/300/1013</t>
  </si>
  <si>
    <t>Roundings</t>
  </si>
  <si>
    <t>Human resources</t>
  </si>
  <si>
    <t>Property services</t>
  </si>
  <si>
    <t>Other &amp; admin</t>
  </si>
  <si>
    <t>PLANNING &amp; DEVELOPMENT</t>
  </si>
  <si>
    <t>Planning &amp; development</t>
  </si>
  <si>
    <t>ROAD TRANSPORT</t>
  </si>
  <si>
    <t>Vehicle licensing &amp; testing</t>
  </si>
  <si>
    <t>Roads &amp; stormwater</t>
  </si>
  <si>
    <t>Roads other</t>
  </si>
  <si>
    <t>HEALTH</t>
  </si>
  <si>
    <t>COMMUNITY &amp; SOCIAL SERVICES</t>
  </si>
  <si>
    <t>Libraries &amp; archives</t>
  </si>
  <si>
    <t>Community halls &amp; facilities</t>
  </si>
  <si>
    <t>Cemeteries &amp; crematoriums</t>
  </si>
  <si>
    <t>PUBLIC SAFETY</t>
  </si>
  <si>
    <t>Traffic</t>
  </si>
  <si>
    <t>WASTE WATER MANAGEMENT</t>
  </si>
  <si>
    <t>Public toilets</t>
  </si>
  <si>
    <t>WASTE MANAGEMENT</t>
  </si>
  <si>
    <t>Solid waste</t>
  </si>
  <si>
    <t>HOUSING</t>
  </si>
  <si>
    <t>WATER</t>
  </si>
  <si>
    <t>Water distribution</t>
  </si>
  <si>
    <t>Water storage</t>
  </si>
  <si>
    <t>ELECTRICITY</t>
  </si>
  <si>
    <t>Electricity distribution</t>
  </si>
  <si>
    <t>APPENDIX C</t>
  </si>
  <si>
    <t>SEGMENTAL ANALYSIS OF PROPERTY, PLANT &amp; EQUIPMENT</t>
  </si>
  <si>
    <t>Surplus/</t>
  </si>
  <si>
    <t>(Deficit)</t>
  </si>
  <si>
    <t>Executive &amp; Council</t>
  </si>
  <si>
    <t>Finance &amp; Admin</t>
  </si>
  <si>
    <t>Human Resources</t>
  </si>
  <si>
    <t>Information Technology</t>
  </si>
  <si>
    <t>Property Services</t>
  </si>
  <si>
    <t>Other Admin</t>
  </si>
  <si>
    <t>Planning &amp; Development</t>
  </si>
  <si>
    <t>Health</t>
  </si>
  <si>
    <t>Health Other</t>
  </si>
  <si>
    <t>Community Services</t>
  </si>
  <si>
    <t>Cemeteries</t>
  </si>
  <si>
    <t>Public Safety</t>
  </si>
  <si>
    <t>Fire Services</t>
  </si>
  <si>
    <t>APPENDIX D</t>
  </si>
  <si>
    <t>DETAILED SEGMENTAL STATEMENT OF FINANCIAL PERFORMANCE</t>
  </si>
  <si>
    <t>Parks &amp; Recreation</t>
  </si>
  <si>
    <t>Waste Management</t>
  </si>
  <si>
    <t>Public Toilets</t>
  </si>
  <si>
    <t>Roads Transport</t>
  </si>
  <si>
    <t>Workmen’s compensation</t>
  </si>
  <si>
    <t>Less:  employee cost capitalized</t>
  </si>
  <si>
    <t>Less:  employee cost to operating</t>
  </si>
  <si>
    <t>Total employee related cost</t>
  </si>
  <si>
    <t>Remuneration of Managers</t>
  </si>
  <si>
    <t>Municipal Manager</t>
  </si>
  <si>
    <t>Annual remuneration</t>
  </si>
  <si>
    <t>Performance bonus</t>
  </si>
  <si>
    <t>Disclosure in terms of the MFMA, 2003, Section 124(1)(c).</t>
  </si>
  <si>
    <t>REMUNERATION OF COUNCILLORS</t>
  </si>
  <si>
    <t>Mayoral Committee members</t>
  </si>
  <si>
    <t>Chief Whip</t>
  </si>
  <si>
    <t>Councillors</t>
  </si>
  <si>
    <t>Pension fund</t>
  </si>
  <si>
    <t>Travelling allowances</t>
  </si>
  <si>
    <t>Cellphone allowances</t>
  </si>
  <si>
    <t>UIF</t>
  </si>
  <si>
    <t>Total councillor’s remuneration</t>
  </si>
  <si>
    <t>Disclosure in terms of the MFMA, 2003, Section 124(1)(a)</t>
  </si>
  <si>
    <t xml:space="preserve">CERTIFICATION </t>
  </si>
  <si>
    <t>Retention Allocation Municipal Building Phase 2</t>
  </si>
  <si>
    <t>Retention Municipal Building Phase 2</t>
  </si>
  <si>
    <t>STATUTORY FUNDS &amp; RESERVES</t>
  </si>
  <si>
    <t>Balance at beginning of the year - Statutory Funds</t>
  </si>
  <si>
    <t>Balance at beginning of the year - Reserves</t>
  </si>
  <si>
    <t>063/370/1071</t>
  </si>
  <si>
    <t>063/440/1312</t>
  </si>
  <si>
    <t>Paupers</t>
  </si>
  <si>
    <t>Signage</t>
  </si>
  <si>
    <t>063/440/1400</t>
  </si>
  <si>
    <t>HIV</t>
  </si>
  <si>
    <t>Environmental</t>
  </si>
  <si>
    <t>063/440/1402</t>
  </si>
  <si>
    <t>Lotto</t>
  </si>
  <si>
    <t>064/070/0140</t>
  </si>
  <si>
    <t>064/300/1001</t>
  </si>
  <si>
    <t>064/300/1002</t>
  </si>
  <si>
    <t>064/300/1004</t>
  </si>
  <si>
    <t>064/300/1009</t>
  </si>
  <si>
    <t>064/300/1012</t>
  </si>
  <si>
    <t>064/310/1021</t>
  </si>
  <si>
    <t>064/310/1022</t>
  </si>
  <si>
    <t>064/310/1023</t>
  </si>
  <si>
    <t>064/310/1024</t>
  </si>
  <si>
    <t>064/310/1029</t>
  </si>
  <si>
    <t>064/370/1071</t>
  </si>
  <si>
    <t>064/380/1111</t>
  </si>
  <si>
    <t>064/380/1215</t>
  </si>
  <si>
    <t>064/380/1220</t>
  </si>
  <si>
    <t>064/440/1311</t>
  </si>
  <si>
    <t>064/440/1325</t>
  </si>
  <si>
    <t>064/440/1327</t>
  </si>
  <si>
    <t>064/440/1350</t>
  </si>
  <si>
    <t>064/440/1364</t>
  </si>
  <si>
    <t>065/161/1299</t>
  </si>
  <si>
    <t>User</t>
  </si>
  <si>
    <t>065/300/1001</t>
  </si>
  <si>
    <t>065/300/1002</t>
  </si>
  <si>
    <t>065/300/1004</t>
  </si>
  <si>
    <t>065/310/1021</t>
  </si>
  <si>
    <t>065/310/1022</t>
  </si>
  <si>
    <t>065/310/1023</t>
  </si>
  <si>
    <t>065/310/1024</t>
  </si>
  <si>
    <t>065/310/1029</t>
  </si>
  <si>
    <t>065/380/1215</t>
  </si>
  <si>
    <t>065/440/1311</t>
  </si>
  <si>
    <t>065/440/1327</t>
  </si>
  <si>
    <t>065/440/1350</t>
  </si>
  <si>
    <t>066/040/0071</t>
  </si>
  <si>
    <t>066/300/1001</t>
  </si>
  <si>
    <t>066/300/1002</t>
  </si>
  <si>
    <t>066/300/1004</t>
  </si>
  <si>
    <t>Standby</t>
  </si>
  <si>
    <t>066/310/1021</t>
  </si>
  <si>
    <t>066/310/1022</t>
  </si>
  <si>
    <t>066/310/1023</t>
  </si>
  <si>
    <t>066/310/1024</t>
  </si>
  <si>
    <t>066/310/1029</t>
  </si>
  <si>
    <t>066/370/1071</t>
  </si>
  <si>
    <t>088/440/1301</t>
  </si>
  <si>
    <t>088/440/1348</t>
  </si>
  <si>
    <t>088/440/1364</t>
  </si>
  <si>
    <t>088/440/1371</t>
  </si>
  <si>
    <t>090/440/1311</t>
  </si>
  <si>
    <t>090/440/1347</t>
  </si>
  <si>
    <t>090/440/1348</t>
  </si>
  <si>
    <t>090/440/1350</t>
  </si>
  <si>
    <t>090/440/1364</t>
  </si>
  <si>
    <t>090/440/1366</t>
  </si>
  <si>
    <t>090/440/1367</t>
  </si>
  <si>
    <t>091/440/1308</t>
  </si>
  <si>
    <t>091/440/1311</t>
  </si>
  <si>
    <t>091/440/1347</t>
  </si>
  <si>
    <t>091/440/1348</t>
  </si>
  <si>
    <t>091/440/1350</t>
  </si>
  <si>
    <t>091/440/1364</t>
  </si>
  <si>
    <t>091/440/1366</t>
  </si>
  <si>
    <t>091/440/1367</t>
  </si>
  <si>
    <t>092/440/1308</t>
  </si>
  <si>
    <t>092/440/1311</t>
  </si>
  <si>
    <t>092/440/1347</t>
  </si>
  <si>
    <t>092/440/1348</t>
  </si>
  <si>
    <t>092/440/1350</t>
  </si>
  <si>
    <t>092/440/1364</t>
  </si>
  <si>
    <t>092/440/1366</t>
  </si>
  <si>
    <t>092/440/1367</t>
  </si>
  <si>
    <t>100/110/0161</t>
  </si>
  <si>
    <t>Licences</t>
  </si>
  <si>
    <t>100/140/0196</t>
  </si>
  <si>
    <t>100/300/1001</t>
  </si>
  <si>
    <t>100/300/1002</t>
  </si>
  <si>
    <t>100/300/1004</t>
  </si>
  <si>
    <t>100/300/1005</t>
  </si>
  <si>
    <t>100/300/1009</t>
  </si>
  <si>
    <t>100/300/1012</t>
  </si>
  <si>
    <t>100/300/1013</t>
  </si>
  <si>
    <t>100/300/1017</t>
  </si>
  <si>
    <t>100/310/1021</t>
  </si>
  <si>
    <t>100/310/1022</t>
  </si>
  <si>
    <t>100/310/1023</t>
  </si>
  <si>
    <t>100/310/1024</t>
  </si>
  <si>
    <t>100/310/1029</t>
  </si>
  <si>
    <t>100/370/1071</t>
  </si>
  <si>
    <t>100/380/1111</t>
  </si>
  <si>
    <t>100/380/1154</t>
  </si>
  <si>
    <t>Road</t>
  </si>
  <si>
    <t>100/380/1220</t>
  </si>
  <si>
    <t>100/390/1231</t>
  </si>
  <si>
    <t>100/440/1308</t>
  </si>
  <si>
    <t>100/440/1311</t>
  </si>
  <si>
    <t>100/440/1325</t>
  </si>
  <si>
    <t>100/440/1327</t>
  </si>
  <si>
    <t>100/440/1335</t>
  </si>
  <si>
    <t>100/440/1347</t>
  </si>
  <si>
    <t>100/440/1348</t>
  </si>
  <si>
    <t>100/440/1350</t>
  </si>
  <si>
    <t>100/440/1364</t>
  </si>
  <si>
    <t>100/440/1366</t>
  </si>
  <si>
    <t>100/440/1367</t>
  </si>
  <si>
    <t>100/440/1392</t>
  </si>
  <si>
    <t>SALARIES</t>
  </si>
  <si>
    <t>COUNCILLORS</t>
  </si>
  <si>
    <t>DEPRECIATION</t>
  </si>
  <si>
    <t>R/M</t>
  </si>
  <si>
    <t>GENERAL</t>
  </si>
  <si>
    <t>BAD DEBT</t>
  </si>
  <si>
    <t>CATEGORY</t>
  </si>
  <si>
    <t>DEPARTMENT</t>
  </si>
  <si>
    <t>CGE</t>
  </si>
  <si>
    <t>MM</t>
  </si>
  <si>
    <t>TOWN PLANNING</t>
  </si>
  <si>
    <t>LEGAL</t>
  </si>
  <si>
    <t>ADMIN</t>
  </si>
  <si>
    <t>HR</t>
  </si>
  <si>
    <t>LIBRARY</t>
  </si>
  <si>
    <t>TOURISM</t>
  </si>
  <si>
    <t>FINANCE</t>
  </si>
  <si>
    <t>IT</t>
  </si>
  <si>
    <t>PARKS &amp; REC</t>
  </si>
  <si>
    <t>CEMETERY</t>
  </si>
  <si>
    <t>SOLID WASTE</t>
  </si>
  <si>
    <t>TECHNICAL</t>
  </si>
  <si>
    <t>PUBLIC SERVICES</t>
  </si>
  <si>
    <t>MUNICIPAL BUILDINGS</t>
  </si>
  <si>
    <t>STREET LIGHTS</t>
  </si>
  <si>
    <t>WORKSHOP</t>
  </si>
  <si>
    <t>ART &amp; CULTURE</t>
  </si>
  <si>
    <t>DISASTER MANAGEMENT</t>
  </si>
  <si>
    <t>VEHICLE REGISTRATION</t>
  </si>
  <si>
    <t>Agricultural</t>
  </si>
  <si>
    <t>Industrial</t>
  </si>
  <si>
    <t xml:space="preserve">Retention solid waste </t>
  </si>
  <si>
    <t>Departmental grant</t>
  </si>
  <si>
    <t>Increase/(decrease) in Unspent conditional Grants and Receipts</t>
  </si>
  <si>
    <t>Contributions to the defined contribution pension plan in respect of service in a particular period are included in the employees’ total cost of employment and are charged to the statement of financial performance in the year to which they relate as part of cost of employment.</t>
  </si>
  <si>
    <t>NOTES</t>
  </si>
  <si>
    <t>CHANGES IN NET ASSETS</t>
  </si>
  <si>
    <t>INDEX</t>
  </si>
  <si>
    <t>*  Note 1</t>
  </si>
  <si>
    <t>*  Note 2</t>
  </si>
  <si>
    <t>*  Note 3</t>
  </si>
  <si>
    <t>*  Note 4</t>
  </si>
  <si>
    <t>*  Note 5</t>
  </si>
  <si>
    <t>*  Note 6</t>
  </si>
  <si>
    <t>*  Note 7</t>
  </si>
  <si>
    <t>*  Note 8</t>
  </si>
  <si>
    <t>*  Note 9</t>
  </si>
  <si>
    <t>*  Note 10</t>
  </si>
  <si>
    <t>*  Note 11</t>
  </si>
  <si>
    <t>*  Note 12</t>
  </si>
  <si>
    <t>*  Note 13</t>
  </si>
  <si>
    <t>*  Note 14</t>
  </si>
  <si>
    <t>*  Note 15</t>
  </si>
  <si>
    <t>*  Note 16</t>
  </si>
  <si>
    <t>*  Note 17</t>
  </si>
  <si>
    <t>*  Note 18</t>
  </si>
  <si>
    <t>*  Note 19</t>
  </si>
  <si>
    <t>*  Note 20</t>
  </si>
  <si>
    <t>*  Note 21</t>
  </si>
  <si>
    <t>*  Note 22</t>
  </si>
  <si>
    <t>*  Note 23</t>
  </si>
  <si>
    <t>*  Note 24</t>
  </si>
  <si>
    <t>*  Note 25</t>
  </si>
  <si>
    <t>*  Note 26</t>
  </si>
  <si>
    <t>*  Note 27</t>
  </si>
  <si>
    <t>*  Note 28</t>
  </si>
  <si>
    <t>*  Note 29</t>
  </si>
  <si>
    <t>*  Note 30</t>
  </si>
  <si>
    <t>*  Note 31</t>
  </si>
  <si>
    <t>*  Note 32</t>
  </si>
  <si>
    <t>*  Note 33</t>
  </si>
  <si>
    <t>*  Note 34</t>
  </si>
  <si>
    <t>*  Note 35</t>
  </si>
  <si>
    <t>*  Note 36</t>
  </si>
  <si>
    <t>*  Note 37</t>
  </si>
  <si>
    <t>*  Note 38</t>
  </si>
  <si>
    <t>*  Note 39</t>
  </si>
  <si>
    <t>*  Note 40</t>
  </si>
  <si>
    <t>2008</t>
  </si>
  <si>
    <t>A contingent asset is a possible asset that arises from past events and whose existence will be confirmed only by the occurrence or non-occurrence of one or more uncertain future events not wholly within the control of the municipality.  Contingent assets are not recognised as assets.</t>
  </si>
  <si>
    <t>Gains on disposal of property, plant &amp; equipment</t>
  </si>
  <si>
    <t>Explanations of significant variances greater than 10% versus budget</t>
  </si>
  <si>
    <t>Repairs &amp; maintenance</t>
  </si>
  <si>
    <t>Interest of external borrowings</t>
  </si>
  <si>
    <t>Bulk purchases : Electricity</t>
  </si>
  <si>
    <t>Grants &amp; subsidies paid</t>
  </si>
  <si>
    <t>General expenses</t>
  </si>
  <si>
    <t>Loss on disposal of property, plant &amp; equipment</t>
  </si>
  <si>
    <t>Contributions to/(transfers from) provisions</t>
  </si>
  <si>
    <t>APPENDIX F</t>
  </si>
  <si>
    <t>ACTUAL CAPITAL VERSUS BUDGET</t>
  </si>
  <si>
    <t>Acquisition of Property, Plant and Equipment</t>
  </si>
  <si>
    <t>Total Additions</t>
  </si>
  <si>
    <t>Explanations of significant variances greater than 5% versus budget</t>
  </si>
  <si>
    <t>EXECUTIVE &amp; COUNCIL</t>
  </si>
  <si>
    <t>022/440/1310</t>
  </si>
  <si>
    <t>022/440/1311</t>
  </si>
  <si>
    <t>022/440/1347</t>
  </si>
  <si>
    <t>022/440/1348</t>
  </si>
  <si>
    <t>022/440/1364</t>
  </si>
  <si>
    <t>022/440/1366</t>
  </si>
  <si>
    <t>022/440/1367</t>
  </si>
  <si>
    <t>Legal</t>
  </si>
  <si>
    <t>025/161/1299</t>
  </si>
  <si>
    <t>025/440/1301</t>
  </si>
  <si>
    <t>025/440/1308</t>
  </si>
  <si>
    <t>025/440/1310</t>
  </si>
  <si>
    <t>025/440/1333</t>
  </si>
  <si>
    <t>Collection</t>
  </si>
  <si>
    <t>025/440/1347</t>
  </si>
  <si>
    <t>025/440/1348</t>
  </si>
  <si>
    <t>025/440/1364</t>
  </si>
  <si>
    <t>025/440/1366</t>
  </si>
  <si>
    <t>025/440/1367</t>
  </si>
  <si>
    <t>860</t>
  </si>
  <si>
    <t>8601</t>
  </si>
  <si>
    <t>Shares in Entity</t>
  </si>
  <si>
    <t>9200</t>
  </si>
  <si>
    <t>Stock - consumable goods</t>
  </si>
  <si>
    <t>STOCK</t>
  </si>
  <si>
    <t>9421</t>
  </si>
  <si>
    <t>Debtors swe</t>
  </si>
  <si>
    <t>9422</t>
  </si>
  <si>
    <t>Debtors sundry</t>
  </si>
  <si>
    <t>9426</t>
  </si>
  <si>
    <t>Section 79(18) tariffs</t>
  </si>
  <si>
    <t>9457</t>
  </si>
  <si>
    <t>DEBTORS : CONSUMER</t>
  </si>
  <si>
    <t>941</t>
  </si>
  <si>
    <t>9438</t>
  </si>
  <si>
    <t>Short/Surplus banking</t>
  </si>
  <si>
    <t>9455</t>
  </si>
  <si>
    <t>Municipal Improvement system</t>
  </si>
  <si>
    <t>UNAUTHORISED EXPENDITURE</t>
  </si>
  <si>
    <t>IRREGULAR EXPENDITURE</t>
  </si>
  <si>
    <t>FRUITLESS AND WASTEFUL EXPENDITURE</t>
  </si>
  <si>
    <t>COMPARATIVE INFORMATION</t>
  </si>
  <si>
    <t>RETIREMENT BENEFITS</t>
  </si>
  <si>
    <t xml:space="preserve">CONSUMER DEPOSITS </t>
  </si>
  <si>
    <t>BORROWING COSTS</t>
  </si>
  <si>
    <t>EVENTS AFTER BALANCE SHEET DATE</t>
  </si>
  <si>
    <t>VALUE ADDED TAX</t>
  </si>
  <si>
    <t>TAXATION</t>
  </si>
  <si>
    <t>Balance</t>
  </si>
  <si>
    <t xml:space="preserve">Department </t>
  </si>
  <si>
    <t xml:space="preserve">Supplier </t>
  </si>
  <si>
    <t xml:space="preserve">Reason for deviation </t>
  </si>
  <si>
    <t>MIG</t>
  </si>
  <si>
    <t>Revaluation Reserve</t>
  </si>
  <si>
    <t>Accumulated Surplus/ (Deficit)</t>
  </si>
  <si>
    <t>Total</t>
  </si>
  <si>
    <t>STATEMENT OF CHANGES IN NET ASSETS</t>
  </si>
  <si>
    <t>CASH FLOW STATEMENT</t>
  </si>
  <si>
    <t>CASH FLOW FROM OPERATING ACTIVITIES</t>
  </si>
  <si>
    <t>Cash paid to suppliers and employees</t>
  </si>
  <si>
    <t>The Musina Local Municipality are exempted from tax in terms of Section 10(1)cB(i)(ff) of the Income Tax Act.</t>
  </si>
  <si>
    <t>Levies</t>
  </si>
  <si>
    <t>Study donations</t>
  </si>
  <si>
    <t>Long term long service</t>
  </si>
  <si>
    <t>Municipal Golf day</t>
  </si>
  <si>
    <t>IEC Voters Education</t>
  </si>
  <si>
    <t>Transferred to Non-current provision: Long Service</t>
  </si>
  <si>
    <t>A list of possible asset claims where outcome was unknown at year end</t>
  </si>
  <si>
    <t>Amount (VAT incl) R</t>
  </si>
  <si>
    <t>Shares</t>
  </si>
  <si>
    <t>Loans</t>
  </si>
  <si>
    <t>STORES</t>
  </si>
  <si>
    <t>Municipal Infrastructure Grant (MIG)</t>
  </si>
  <si>
    <t>Public Contribution Reserve</t>
  </si>
  <si>
    <t>Non current Provision : Longservice</t>
  </si>
  <si>
    <t xml:space="preserve">LEASE COMPUTERS </t>
  </si>
  <si>
    <t>Advance payment pre-paid</t>
  </si>
  <si>
    <t>Infrastructure Assets</t>
  </si>
  <si>
    <t>Revaluation - Assets</t>
  </si>
  <si>
    <t>Business</t>
  </si>
  <si>
    <t>Right of way</t>
  </si>
  <si>
    <t>Public Open  Spaces</t>
  </si>
  <si>
    <t>Educational</t>
  </si>
  <si>
    <t>Churches</t>
  </si>
  <si>
    <t>Institutional</t>
  </si>
  <si>
    <t>UNSPEND CONDITIONAL GRANTS FROM GOVERNMENT</t>
  </si>
  <si>
    <t>066/380/1111</t>
  </si>
  <si>
    <t xml:space="preserve">BY THE MUNICIPAL MANAGER </t>
  </si>
  <si>
    <t>ON COUNCILLORS’ REMUNERATION</t>
  </si>
  <si>
    <t>Local government stock</t>
  </si>
  <si>
    <t>Annuity loan</t>
  </si>
  <si>
    <t>Lease liability</t>
  </si>
  <si>
    <t>External loan cost</t>
  </si>
  <si>
    <t>BULK PURCHASES</t>
  </si>
  <si>
    <t>Electricity losses</t>
  </si>
  <si>
    <t>GRANT AND SUBSIDIES PAID</t>
  </si>
  <si>
    <t>Disclosure in terms of the MFMA, 2003, Section 123(I)(b).</t>
  </si>
  <si>
    <t>CORRECTION OF ERROR</t>
  </si>
  <si>
    <t>Correction on depreciation</t>
  </si>
  <si>
    <t>CASH GENERATED FROM/(UTILISED IN) OPERATIONS</t>
  </si>
  <si>
    <t>Depreciation charges</t>
  </si>
  <si>
    <t>Contributions to bad debt</t>
  </si>
  <si>
    <t>Non-operating income</t>
  </si>
  <si>
    <t>Non-operating expenditure</t>
  </si>
  <si>
    <t>Operating surplus before working capital changes</t>
  </si>
  <si>
    <t>(Increase)/decrease in inventories</t>
  </si>
  <si>
    <t>(Increase)/decrease in debtors</t>
  </si>
  <si>
    <t>(Increase)/decrease in other debtors</t>
  </si>
  <si>
    <t>Increase/(decrease) in creditors</t>
  </si>
  <si>
    <t>Cash generated by operations</t>
  </si>
  <si>
    <t>UTILISATION OF LONG TERM LIABILITIES RECONCILIATION</t>
  </si>
  <si>
    <t>Used to finance property, plant and equipment at cost</t>
  </si>
  <si>
    <t>Cash set aside for the acquiring of property, plant &amp; equipment</t>
  </si>
  <si>
    <t>Cash invested for the repayment of long term liabilities</t>
  </si>
  <si>
    <t>Commitments in respect of capital expenditure:</t>
  </si>
  <si>
    <t>Approved and contracted for</t>
  </si>
  <si>
    <t>Infrastructure</t>
  </si>
  <si>
    <t>Community assets</t>
  </si>
  <si>
    <t>082/161/1300</t>
  </si>
  <si>
    <t>082/380/1111</t>
  </si>
  <si>
    <t>082/380/1215</t>
  </si>
  <si>
    <t>082/390/1231</t>
  </si>
  <si>
    <t>a)      Defined contribution plans</t>
  </si>
  <si>
    <t>BASIS OF PRESENTATION</t>
  </si>
  <si>
    <t>GOING CONCERN ASSUMPTION</t>
  </si>
  <si>
    <t>FINANCIAL INSTRUMENTS</t>
  </si>
  <si>
    <t>This grant was used to construct basic municipal infrastructure to provide basic services for the benefit of poor households.  Other than the unspent amount, the conditions of the grant were met and no funds have been withheld.</t>
  </si>
  <si>
    <t>Integrated National Electrification Grant (INEP)</t>
  </si>
  <si>
    <t>This grant was used to address the electrification backlog of permanently occupied residential dwellings.  The conditions of the grant were met and no funds have been withheld.</t>
  </si>
  <si>
    <t>Mine</t>
  </si>
  <si>
    <t>National Treasury</t>
  </si>
  <si>
    <t>OTHER ASSETS</t>
  </si>
  <si>
    <t>Plant &amp; equipment</t>
  </si>
  <si>
    <t>Office equipment</t>
  </si>
  <si>
    <t>Fire</t>
  </si>
  <si>
    <t>TOTAL</t>
  </si>
  <si>
    <t>Carrying Value</t>
  </si>
  <si>
    <t>Opening Balance</t>
  </si>
  <si>
    <t xml:space="preserve"> Additions/ Transfers</t>
  </si>
  <si>
    <t>30 June 2008</t>
  </si>
  <si>
    <t>Transferred to Accumulated Surplus (see 38.6 below)</t>
  </si>
  <si>
    <t>Total (debited to Accumulated Surplus) (see 38.6 below)</t>
  </si>
  <si>
    <t>Transferred from Statutory Funds (see 38.1 above)</t>
  </si>
  <si>
    <t>Assets not meeting the  criteria (see 38.3 above)</t>
  </si>
  <si>
    <t>Backlog depreciation (see 38.4 above)</t>
  </si>
  <si>
    <t>Current Provisions (see 38.5 above)</t>
  </si>
  <si>
    <t>Pay as You Earn (PAYE)</t>
  </si>
  <si>
    <t>Current payroll deductions</t>
  </si>
  <si>
    <t>Balance unpaid</t>
  </si>
  <si>
    <t>Unemployment Insurance Fund (UIF)</t>
  </si>
  <si>
    <t>Medical Aid</t>
  </si>
  <si>
    <t>Pension Fund</t>
  </si>
  <si>
    <t xml:space="preserve">                                                                                                                     </t>
  </si>
  <si>
    <t>Disclosure concerning councilors</t>
  </si>
  <si>
    <t>Section 124(1)(b)</t>
  </si>
  <si>
    <t>During the year the following councillors had arrear accounts outstanding for more than 90 days:</t>
  </si>
  <si>
    <t>Outstanding more than 90 days</t>
  </si>
  <si>
    <t>Outstanding less than 90 days</t>
  </si>
  <si>
    <t>Highest amount outstanding</t>
  </si>
  <si>
    <t>Ageing</t>
  </si>
  <si>
    <t>In terms of this section, any arrears by individual councillors to the municipality for rates and services, which at any time during the relevant financial year was outstanding for more than 90 days, including the names of those councillors must be disclosed.</t>
  </si>
  <si>
    <t>Section 64(3)</t>
  </si>
  <si>
    <t>Outstanding consumer accounts</t>
  </si>
  <si>
    <t>Government institutions</t>
  </si>
  <si>
    <t>Other government institutions</t>
  </si>
  <si>
    <t>Department of Public Works (Other)</t>
  </si>
  <si>
    <t>Department of Education &amp; Schools</t>
  </si>
  <si>
    <t>In terms of the section, National Treasury was informed of the arrear accounts of schools for periods of more than 30 days.</t>
  </si>
  <si>
    <t>Arrear</t>
  </si>
  <si>
    <t>Current</t>
  </si>
  <si>
    <t xml:space="preserve"> Arrear</t>
  </si>
  <si>
    <t>INVESTMENT PROPERTY</t>
  </si>
  <si>
    <t>Property at cost</t>
  </si>
  <si>
    <t>Additions</t>
  </si>
  <si>
    <t>Transferred to PPE</t>
  </si>
  <si>
    <t>Government Grant Reserve</t>
  </si>
  <si>
    <t>Current account (primary bank account)</t>
  </si>
  <si>
    <t>Bank statement balance at beginning of year</t>
  </si>
  <si>
    <t>Bank statement balance at end of year</t>
  </si>
  <si>
    <t>Cash book balance at beginning of year</t>
  </si>
  <si>
    <t>Increase/(decrease) in cash book balance</t>
  </si>
  <si>
    <t>Cash book balance at end of year</t>
  </si>
  <si>
    <t>Disclosure in terms of the MFMA, 2003, Section 125(2)(a).</t>
  </si>
  <si>
    <t>PROPERTY RATES</t>
  </si>
  <si>
    <t>Residential</t>
  </si>
  <si>
    <t>Commercial</t>
  </si>
  <si>
    <t>Exempted</t>
  </si>
  <si>
    <t>Government</t>
  </si>
  <si>
    <t>VALUATIONS</t>
  </si>
  <si>
    <t>SERVICE CHARGES</t>
  </si>
  <si>
    <t>Sale of electricity</t>
  </si>
  <si>
    <t>Refuse removal</t>
  </si>
  <si>
    <t>Total service charges</t>
  </si>
  <si>
    <t>GOVERNMENT SUBSIDIES &amp; GRANTS</t>
  </si>
  <si>
    <t>Operating Grants</t>
  </si>
  <si>
    <t>Equitable share</t>
  </si>
  <si>
    <t>Finance management grant (FMG)</t>
  </si>
  <si>
    <t>Local government capacity building grant</t>
  </si>
  <si>
    <t>Municipal systems improvement grant (MSIG)</t>
  </si>
  <si>
    <t>Capital Grants</t>
  </si>
  <si>
    <t>Department of provincial and local government (DPLG)</t>
  </si>
  <si>
    <t>Municipal infrastructural grant (MIG)</t>
  </si>
  <si>
    <t>Integrated national electrification grant (INEP)</t>
  </si>
  <si>
    <t>Vuna Awards</t>
  </si>
  <si>
    <t>Total Government Grants &amp; Subsidies</t>
  </si>
  <si>
    <t>Equitable Share</t>
  </si>
  <si>
    <t>Current year receipts</t>
  </si>
  <si>
    <t>Conditions met – transferred to revenue</t>
  </si>
  <si>
    <t>Finance Management Grant</t>
  </si>
  <si>
    <t>Balance unspent at beginning of year</t>
  </si>
  <si>
    <t>This grant was used to promote and support reforms to municipal financial management and the implementation of the MFMA, 2003.  Other than the unspent amount, the conditions of the grant were met and no funds have been withheld.</t>
  </si>
  <si>
    <t>Municipal Systems Improvement Grant</t>
  </si>
  <si>
    <t>This grant was used to build in-house capacity to perform their functions and stabilize institutional and governance systems.  Other than the unspent amount, the conditions of the grant were met and no funds have been withheld.</t>
  </si>
  <si>
    <t>Other assets</t>
  </si>
  <si>
    <t>Approved but not yet contracted for</t>
  </si>
  <si>
    <t>Land and buildings</t>
  </si>
  <si>
    <t>Specialised vehicles</t>
  </si>
  <si>
    <t>This expenditure will be financed from</t>
  </si>
  <si>
    <t>External loans</t>
  </si>
  <si>
    <t>Government grants</t>
  </si>
  <si>
    <t>Contribution to SALGA</t>
  </si>
  <si>
    <t>Amount paid current year</t>
  </si>
  <si>
    <t>Current year audit fee</t>
  </si>
  <si>
    <t>Output Tax</t>
  </si>
  <si>
    <t>Closing balance</t>
  </si>
  <si>
    <t>Input Tax</t>
  </si>
  <si>
    <t>Amount payable to SARS</t>
  </si>
  <si>
    <t>Vehicle Licenses &amp; Traffic</t>
  </si>
  <si>
    <t>Transport Other</t>
  </si>
  <si>
    <t>Water Distribution</t>
  </si>
  <si>
    <t>Water Purification</t>
  </si>
  <si>
    <t>Electricity Distribution</t>
  </si>
  <si>
    <t>Street Lighting</t>
  </si>
  <si>
    <t>Less: Inter-Departmental Charges</t>
  </si>
  <si>
    <t>%</t>
  </si>
  <si>
    <t>Current account (Art &amp; Culture)</t>
  </si>
  <si>
    <t>Account number :  4065606760</t>
  </si>
  <si>
    <t>Current account (Lotto Nancefield stadium)</t>
  </si>
  <si>
    <t>Account number :  4067609265</t>
  </si>
  <si>
    <t>Current account (PHP Housing)</t>
  </si>
  <si>
    <t>Account number :  4071944207</t>
  </si>
  <si>
    <t>Current account (MIG Grant)</t>
  </si>
  <si>
    <t>Public Transport Limp province</t>
  </si>
  <si>
    <t>Interest</t>
  </si>
  <si>
    <t>Library/Cemetary</t>
  </si>
  <si>
    <t>Seta</t>
  </si>
  <si>
    <t>Zelpy</t>
  </si>
  <si>
    <t>RD Cheques</t>
  </si>
  <si>
    <t>Vhembe District</t>
  </si>
  <si>
    <t>Pensioners</t>
  </si>
  <si>
    <t>Insurance</t>
  </si>
  <si>
    <t>Rentals</t>
  </si>
  <si>
    <t>Furniture</t>
  </si>
  <si>
    <t>Waste</t>
  </si>
  <si>
    <t>Streetlights</t>
  </si>
  <si>
    <t>Redemption</t>
  </si>
  <si>
    <t>The principal accounting policies adopted in the preparation of these annual financial statements are set out below.</t>
  </si>
  <si>
    <t>Land</t>
  </si>
  <si>
    <t>Revenue from the recovery of unauthorised, irregular, fruitless and wasteful expenditure is based on legislated procedures, including those set out in the Municipal Finance Management Act (Act No.56 of 2003) and is recognised when the recovery thereof from the responsible councillors or officials is virtually certain.</t>
  </si>
  <si>
    <t>Vehicles</t>
  </si>
  <si>
    <t>Surplus/(deficit) for the year</t>
  </si>
  <si>
    <t>R</t>
  </si>
  <si>
    <t>Sale of erven</t>
  </si>
  <si>
    <t>Land trust fund</t>
  </si>
  <si>
    <t>Deposits</t>
  </si>
  <si>
    <t>Income not receipted</t>
  </si>
  <si>
    <t>8604</t>
  </si>
  <si>
    <t>Malale cemetary project</t>
  </si>
  <si>
    <t>Debtors</t>
  </si>
  <si>
    <t>Vhembe District Municipality</t>
  </si>
  <si>
    <t>Bank</t>
  </si>
  <si>
    <t>DATE</t>
  </si>
  <si>
    <t>TRADE AND OTHER PAYABLES</t>
  </si>
  <si>
    <t>Trade and other payables</t>
  </si>
  <si>
    <t>SARS - VAT</t>
  </si>
  <si>
    <t>INVESTMENTS</t>
  </si>
  <si>
    <t>NON CURRENT RECEIVABLES</t>
  </si>
  <si>
    <t>Non-current receivables</t>
  </si>
  <si>
    <t>OTHER RECEIVABLES</t>
  </si>
  <si>
    <t>CASH AND CASH EQUIVALENTS</t>
  </si>
  <si>
    <t>Cash and cash equivalents</t>
  </si>
  <si>
    <t>Municipal</t>
  </si>
  <si>
    <t>Investment Revenue – external investments</t>
  </si>
  <si>
    <t>INTEREST OUTSTANDING DEBTORS</t>
  </si>
  <si>
    <t>Allowances</t>
  </si>
  <si>
    <t>Council Contributions</t>
  </si>
  <si>
    <t>FINANCE COST</t>
  </si>
  <si>
    <t>Finance cost</t>
  </si>
  <si>
    <t xml:space="preserve">GENERAL EXPENSES </t>
  </si>
  <si>
    <t>CONTINGENT LIABILITIES</t>
  </si>
  <si>
    <t>APPENDIX E (1)</t>
  </si>
  <si>
    <t>APPENDIX E (2)</t>
  </si>
  <si>
    <t>The municipality contributes towards retirement benefits of its employees and councillors to the under-mentioned pension funds:</t>
  </si>
  <si>
    <t>Councillors are members of the Municipal Councillor’s Pension Fund that was established in terms of the Remuneration of Public Office Bearers Act 1998 (Act 20 of 1998).</t>
  </si>
  <si>
    <t>Obligations for contributions to defined contribution plans are recognised as an expense in the income statement as incurred.</t>
  </si>
  <si>
    <t>NOTES TO THE FINANCIAL STATEMETNTS</t>
  </si>
  <si>
    <t>NOTES TO THE FINANCIAL STATEMENTS</t>
  </si>
  <si>
    <t>Recognised amounts in the financial statements are adjusted to reflect events arising after the balance sheet date that provide evidence of conditions that existed at the balance sheet date.  Events after the balance sheet date that are indicative of conditions that arose after the balance sheet date are dealt with by way of a note to the financial statements.</t>
  </si>
  <si>
    <t>Carrying value of disposals</t>
  </si>
  <si>
    <t>Other movements</t>
  </si>
  <si>
    <t>Community Assets</t>
  </si>
  <si>
    <t>Other Assets</t>
  </si>
  <si>
    <t>Short Term Fixed Deposits</t>
  </si>
  <si>
    <t xml:space="preserve">ABSA Bank </t>
  </si>
  <si>
    <t>First National Bank</t>
  </si>
  <si>
    <t>Investec Bank</t>
  </si>
  <si>
    <t>Nedbank</t>
  </si>
  <si>
    <t>Long Term Fixed Deposits</t>
  </si>
  <si>
    <t>ABSA Bank</t>
  </si>
  <si>
    <t>Total Investments</t>
  </si>
  <si>
    <t>Sub-total</t>
  </si>
  <si>
    <t>Less:  current portion transferred to current receivables</t>
  </si>
  <si>
    <t>Total long term receivables</t>
  </si>
  <si>
    <t>INVENTORY</t>
  </si>
  <si>
    <t>Gross Balance</t>
  </si>
  <si>
    <t>Provision for Bad Debt</t>
  </si>
  <si>
    <t>Net Balance</t>
  </si>
  <si>
    <t>Service debtors:</t>
  </si>
  <si>
    <t xml:space="preserve">Water </t>
  </si>
  <si>
    <t xml:space="preserve">Sewerage </t>
  </si>
  <si>
    <t>Refuse</t>
  </si>
  <si>
    <t>Contribution to bad debt provision</t>
  </si>
  <si>
    <t>Debt written off for the year</t>
  </si>
  <si>
    <t>PHP Housing</t>
  </si>
  <si>
    <t>CREDITORS - GENERAL</t>
  </si>
  <si>
    <t>CREDITORS</t>
  </si>
  <si>
    <t>FIXED ASSETS</t>
  </si>
  <si>
    <t>Total Expenditure</t>
  </si>
  <si>
    <t>NET SURPLUS/(DEFICIT) FOR THE YEAR</t>
  </si>
  <si>
    <t>Opening balance</t>
  </si>
  <si>
    <t>Restated balance</t>
  </si>
  <si>
    <t>Net surplus for the year</t>
  </si>
  <si>
    <t>Capital grants used to purchase PPE</t>
  </si>
  <si>
    <t>Offsetting of depreciation</t>
  </si>
  <si>
    <t>Changes in accounting estimate</t>
  </si>
  <si>
    <t>080/310/1021</t>
  </si>
  <si>
    <t>080/310/1022</t>
  </si>
  <si>
    <t>080/310/1023</t>
  </si>
  <si>
    <t>080/310/1024</t>
  </si>
  <si>
    <t>080/310/1029</t>
  </si>
  <si>
    <t>080/370/1071</t>
  </si>
  <si>
    <t>080/380/1101</t>
  </si>
  <si>
    <t>080/380/1111</t>
  </si>
  <si>
    <t>080/380/1215</t>
  </si>
  <si>
    <t>080/440/1311</t>
  </si>
  <si>
    <t>080/440/1327</t>
  </si>
  <si>
    <t>080/440/1336</t>
  </si>
  <si>
    <t>080/440/1347</t>
  </si>
  <si>
    <t>080/440/1348</t>
  </si>
  <si>
    <t>080/440/1350</t>
  </si>
  <si>
    <t>080/440/1364</t>
  </si>
  <si>
    <t>080/440/1366</t>
  </si>
  <si>
    <t>080/440/1367</t>
  </si>
  <si>
    <t>081/040/0101</t>
  </si>
  <si>
    <t>081/070/0140</t>
  </si>
  <si>
    <t>081/300/1001</t>
  </si>
  <si>
    <t>081/300/1002</t>
  </si>
  <si>
    <t>081/300/1004</t>
  </si>
  <si>
    <t>081/300/1005</t>
  </si>
  <si>
    <t>081/300/1009</t>
  </si>
  <si>
    <t>081/300/1012</t>
  </si>
  <si>
    <t>081/300/1013</t>
  </si>
  <si>
    <t>081/310/1021</t>
  </si>
  <si>
    <t>081/310/1022</t>
  </si>
  <si>
    <t>081/310/1023</t>
  </si>
  <si>
    <t>081/310/1024</t>
  </si>
  <si>
    <t>081/310/1029</t>
  </si>
  <si>
    <t>081/370/1071</t>
  </si>
  <si>
    <t>081/380/1111</t>
  </si>
  <si>
    <t>081/380/1138</t>
  </si>
  <si>
    <t>Tarred</t>
  </si>
  <si>
    <t>081/380/1146</t>
  </si>
  <si>
    <t>Sidewalks</t>
  </si>
  <si>
    <t>081/380/1215</t>
  </si>
  <si>
    <t>081/380/1220</t>
  </si>
  <si>
    <t>081/380/1224</t>
  </si>
  <si>
    <t>081/390/1231</t>
  </si>
  <si>
    <t>081/400/1241</t>
  </si>
  <si>
    <t>081/440/1311</t>
  </si>
  <si>
    <t>081/440/1325</t>
  </si>
  <si>
    <t>Total Payment</t>
  </si>
  <si>
    <t>Adjustment jnl 203853 &amp; 203955</t>
  </si>
  <si>
    <t>RELATED PARTY DISCLOSURES</t>
  </si>
  <si>
    <t>The detail is as follows:</t>
  </si>
  <si>
    <t>A. N. LURULI - CEO</t>
  </si>
  <si>
    <t>T. MOCKE - DIRECTOR FINANCE</t>
  </si>
  <si>
    <t xml:space="preserve">J. DU TOIT - DIRECTOR TECHNICAL -CHAIRPERSON </t>
  </si>
  <si>
    <t>The Directors of Zelpy 1903 Pty Ltd are not receiving any compensation and is appointed on a volentary basis</t>
  </si>
  <si>
    <t>KEY MANAGEMENT PERSONNEL</t>
  </si>
  <si>
    <t>LEBOHANG SEBOLA - PROJECT MANAGER</t>
  </si>
  <si>
    <t>Property Rental</t>
  </si>
  <si>
    <t>Vhembe District Billing 04 -07</t>
  </si>
  <si>
    <t xml:space="preserve">DEBTORS BY CONSUMER CLASSIFICATION     </t>
  </si>
  <si>
    <t>Residential 4</t>
  </si>
  <si>
    <t>State Property</t>
  </si>
  <si>
    <t xml:space="preserve">Vhembe District Indigent </t>
  </si>
  <si>
    <t>Vat Receivable</t>
  </si>
  <si>
    <t>KEY ASSUMPTIONS</t>
  </si>
  <si>
    <t>*  Note 43</t>
  </si>
  <si>
    <t>2009</t>
  </si>
  <si>
    <t>CLOSING BAL 08/09</t>
  </si>
  <si>
    <t>MOVEMENTS DEBITS 07/08</t>
  </si>
  <si>
    <t>MOVEMENTS CREDITS 07/08</t>
  </si>
  <si>
    <t>MOVEMENTS DEBITS 08/09</t>
  </si>
  <si>
    <t>MOVEMENTS CREDITS 08/09</t>
  </si>
  <si>
    <t>CLOSING BAL 07/08</t>
  </si>
  <si>
    <t>TOTAL:</t>
  </si>
  <si>
    <t xml:space="preserve"> TOTAL:</t>
  </si>
  <si>
    <t xml:space="preserve"> TOTAL</t>
  </si>
  <si>
    <t xml:space="preserve"> SECTION TOTAL:</t>
  </si>
  <si>
    <t>DEBTORS : GENERAL</t>
  </si>
  <si>
    <t>TOTALS LINKED TO APPENDIX D</t>
  </si>
  <si>
    <t>Amounts received in advance  :  Consumer Debtors</t>
  </si>
  <si>
    <t>30 June 2009</t>
  </si>
  <si>
    <t>Balance at 30 June 2009</t>
  </si>
  <si>
    <t>Link to appendix c</t>
  </si>
  <si>
    <t>link to trial balance</t>
  </si>
  <si>
    <t>010/170/0118</t>
  </si>
  <si>
    <t>010/340/1052</t>
  </si>
  <si>
    <t>010/380/1112</t>
  </si>
  <si>
    <t>010/440/1309</t>
  </si>
  <si>
    <t>010/440/1360</t>
  </si>
  <si>
    <t>010/440/1394</t>
  </si>
  <si>
    <t>010/440/1400</t>
  </si>
  <si>
    <t>010/440/1402</t>
  </si>
  <si>
    <t>Projecr farmers</t>
  </si>
  <si>
    <t>Foreign Nations</t>
  </si>
  <si>
    <t>Community liason</t>
  </si>
  <si>
    <t>030/440/1367</t>
  </si>
  <si>
    <t>050/140/0105</t>
  </si>
  <si>
    <t>050/161/0103</t>
  </si>
  <si>
    <t>050/440/1600</t>
  </si>
  <si>
    <t>050/440/1601</t>
  </si>
  <si>
    <t>051/300/1005</t>
  </si>
  <si>
    <t>052/161/0106</t>
  </si>
  <si>
    <t>052/440/1370</t>
  </si>
  <si>
    <t>052/440/1373</t>
  </si>
  <si>
    <t>065/040/0125</t>
  </si>
  <si>
    <t>Cemetary wall palisite</t>
  </si>
  <si>
    <t>066/440/1364</t>
  </si>
  <si>
    <t>building plans</t>
  </si>
  <si>
    <t>081/140/0122</t>
  </si>
  <si>
    <t>084/161/1296</t>
  </si>
  <si>
    <t>084/040/0046</t>
  </si>
  <si>
    <t>084/040/0047</t>
  </si>
  <si>
    <t>084/300/1013</t>
  </si>
  <si>
    <t>087/300/1012</t>
  </si>
  <si>
    <t>087/300/1013</t>
  </si>
  <si>
    <t>100/440/1372</t>
  </si>
  <si>
    <t>100/440/1373</t>
  </si>
  <si>
    <t>Disaster Management</t>
  </si>
  <si>
    <t>Public services</t>
  </si>
  <si>
    <t>Tourism - Art &amp; Culture</t>
  </si>
  <si>
    <t>Refuse Removal (Solid Waste)</t>
  </si>
  <si>
    <t>Loan Workshop</t>
  </si>
  <si>
    <t>Retention Community Hall</t>
  </si>
  <si>
    <t>Retention workshop</t>
  </si>
  <si>
    <t>Musina Toyota - Veh Registration</t>
  </si>
  <si>
    <t>Retention community hall</t>
  </si>
  <si>
    <t>Funerals</t>
  </si>
  <si>
    <t>050/440/1372</t>
  </si>
  <si>
    <t>Grants &amp; Subsidies paid</t>
  </si>
  <si>
    <t>Legal Fees</t>
  </si>
  <si>
    <t>LONG TERM LOANS</t>
  </si>
  <si>
    <t>30/06/2013</t>
  </si>
  <si>
    <t>30/06/2011</t>
  </si>
  <si>
    <t>30/06/2026</t>
  </si>
  <si>
    <t>30/06/2016</t>
  </si>
  <si>
    <t>01/09/2013</t>
  </si>
  <si>
    <t>01/06/2013</t>
  </si>
  <si>
    <t>MESS-00-0001-384</t>
  </si>
  <si>
    <t>Allocated income transfer to Vhembe</t>
  </si>
  <si>
    <t>"INSERT LOGO"</t>
  </si>
  <si>
    <t>MUSINA  LOCAL MUNICIPALITY</t>
  </si>
  <si>
    <t>APPROVAL AND CERTIFICATION</t>
  </si>
  <si>
    <t>Balance at 30 June 2008</t>
  </si>
  <si>
    <t>PARKS RECREATION</t>
  </si>
  <si>
    <t>Increase/(decrease) in Cash and cash equivalents</t>
  </si>
  <si>
    <t>(Increase)/decrease in non-current receivables</t>
  </si>
  <si>
    <t>(Increase)/decrease in non-current investments</t>
  </si>
  <si>
    <t>(Increase)/decrease in current investments</t>
  </si>
  <si>
    <t>Cash receipts from ratepayers, government and others</t>
  </si>
  <si>
    <t>Property, plant and equipment purchased</t>
  </si>
  <si>
    <t>Contributions to insurance reserve</t>
  </si>
  <si>
    <t>Transfer to Housing Development Fund</t>
  </si>
  <si>
    <t>Insurance claims processed</t>
  </si>
  <si>
    <t>Finance Lease Liability</t>
  </si>
  <si>
    <t>Reconciliation between the total minimum lease payments and their present value</t>
  </si>
  <si>
    <t>1-5 years</t>
  </si>
  <si>
    <t>More than 5 years</t>
  </si>
  <si>
    <t>Minimum lease payments</t>
  </si>
  <si>
    <t>Present value</t>
  </si>
  <si>
    <t>Medium and Low Municipalities are not required to recognise finance lease liabilities if GRAP 17 has not been complied with.  However, nformation about financial lease liabilities relating to assets that have not been recognised in the Municipality's financial statements must be disclosed in accordance with GRAP 13.</t>
  </si>
  <si>
    <t>Long term liabilities (see note 5)</t>
  </si>
  <si>
    <t>DISCLOSURE OF GRANTS AND SUBSIDIES</t>
  </si>
  <si>
    <t>DISCLOSURE OF GRANTS AND SUBSIDIES IN TERMS OF SECTION 123 OF MFMA, 56 OF 2003</t>
  </si>
  <si>
    <t>Name of Grants</t>
  </si>
  <si>
    <t>Quarterly Expenditure for the  Year</t>
  </si>
  <si>
    <t>Delay \ withheld</t>
  </si>
  <si>
    <t>Gazette amount Municipal year</t>
  </si>
  <si>
    <t>Reason for delay/ withholding of funds</t>
  </si>
  <si>
    <t>Did your municipality comply with the grant conditions in terms of grant framework in the latest Division of Revenue Act</t>
  </si>
  <si>
    <t>Reason for non-compliance</t>
  </si>
  <si>
    <t>Sep</t>
  </si>
  <si>
    <t>Dec</t>
  </si>
  <si>
    <t>March</t>
  </si>
  <si>
    <t>June</t>
  </si>
  <si>
    <t>Yes / No</t>
  </si>
  <si>
    <t>Financial Management Grant</t>
  </si>
  <si>
    <t>MIG Grants</t>
  </si>
  <si>
    <t>Intergrated National Electrification Grant</t>
  </si>
  <si>
    <t>Dept of Energy &amp; Min</t>
  </si>
  <si>
    <t>INCOME FOREGONE</t>
  </si>
  <si>
    <t>Own Revenue</t>
  </si>
  <si>
    <t xml:space="preserve">Cash set aside for the repayment of long term liabilities </t>
  </si>
  <si>
    <t>Amortisation</t>
  </si>
  <si>
    <t>VHEMBE DISTRICT MUNICIPALITY</t>
  </si>
  <si>
    <t>ELECTRICITY PRE-PAID POWER CARDS</t>
  </si>
  <si>
    <t>Bosveld Enterprises</t>
  </si>
  <si>
    <t>Matshivha's Holdings t/s Tshiambar Action Bar</t>
  </si>
  <si>
    <t>Dhruv Supermarket</t>
  </si>
  <si>
    <t>Super Spar</t>
  </si>
  <si>
    <t>Engern Petrol Station</t>
  </si>
  <si>
    <t>4.1 Pension Benefits Plan Expense</t>
  </si>
  <si>
    <t>Current service cost</t>
  </si>
  <si>
    <t>Interest costs</t>
  </si>
  <si>
    <t>Expected return on plan assets</t>
  </si>
  <si>
    <t>Expected return on reimbursement rights</t>
  </si>
  <si>
    <t>Actuarial (gain)/loss recognised in the year</t>
  </si>
  <si>
    <t>(Gain)/loss arising from curtailments or settlements</t>
  </si>
  <si>
    <t>Adjustments for restrictions on the defined benefit asset</t>
  </si>
  <si>
    <t>Past service cost</t>
  </si>
  <si>
    <t>Net pension benefit expense</t>
  </si>
  <si>
    <t>4.2 Assumptions for actuarial valuation</t>
  </si>
  <si>
    <t>The assumptions made for the actuarial valuation as at 30 June were as follows: -</t>
  </si>
  <si>
    <t>Discount rate</t>
  </si>
  <si>
    <t>Expected future salary increases</t>
  </si>
  <si>
    <t>Expected future pension increases</t>
  </si>
  <si>
    <t>Other (list)</t>
  </si>
  <si>
    <t>4.3 Net Pension Plan Liability</t>
  </si>
  <si>
    <t>Present value of funded defined benefit obligation (refer 3.4 below)</t>
  </si>
  <si>
    <t>Fair value of plan assets (refer 3.5 below)</t>
  </si>
  <si>
    <t>Present value of unfunded defined benefit obligation[1]</t>
  </si>
  <si>
    <t>Deficit</t>
  </si>
  <si>
    <t>Unrecognised net actuarial losses/(gains)</t>
  </si>
  <si>
    <t>Unrecognised past service cost</t>
  </si>
  <si>
    <t>Restrictions on plan assets recognised1</t>
  </si>
  <si>
    <t>Fair value of reimbursement rights recognised as an asset</t>
  </si>
  <si>
    <t xml:space="preserve">Other (list) </t>
  </si>
  <si>
    <t>Net Pension Plan Liability</t>
  </si>
  <si>
    <t>4.4 Changes in Funded Defined Benefit Plan Obligation</t>
  </si>
  <si>
    <t>Changes in the present value of the defined benefit obligation are as follows: -</t>
  </si>
  <si>
    <t>Interest on benefit obligation</t>
  </si>
  <si>
    <t>Contributions from participants</t>
  </si>
  <si>
    <t>Actuarial (gain)/loss recognised</t>
  </si>
  <si>
    <t>(Gain)/loss arising from curtailments</t>
  </si>
  <si>
    <t>Liability extinguished on settlements</t>
  </si>
  <si>
    <t>Benefits paid</t>
  </si>
  <si>
    <t>Balance at end of year</t>
  </si>
  <si>
    <t>4.5 Changes in Fair Value of Plan Assets</t>
  </si>
  <si>
    <t>Changes in the fair value of plan assets are as follows: -</t>
  </si>
  <si>
    <t>Actuarial gain/(loss)</t>
  </si>
  <si>
    <t>Contributions from Municipality</t>
  </si>
  <si>
    <t>Benefits</t>
  </si>
  <si>
    <t>Assets distributed on settlements</t>
  </si>
  <si>
    <t>4.6 Expected Return on Plan Assets</t>
  </si>
  <si>
    <t>Equities</t>
  </si>
  <si>
    <t>Bonds</t>
  </si>
  <si>
    <t>Properties</t>
  </si>
  <si>
    <t>The expected rate of return at the reporting date is based on the weighted average of the plan assets and is based on historical yields and market conditions in the forthcoming twelve months.</t>
  </si>
  <si>
    <t>The actual return on plan assets was X % (2008: X %)</t>
  </si>
  <si>
    <t>4.7 History of Experience Adjustments</t>
  </si>
  <si>
    <t>Defined benefit obligation (refer 3.4 above)</t>
  </si>
  <si>
    <t>Fair value of plan assets (refer 3.5 above)</t>
  </si>
  <si>
    <t>Experience adjustments on plan liabilities</t>
  </si>
  <si>
    <t>Experience adjustments on plan assets</t>
  </si>
  <si>
    <t>The transitional provisions in IAS 19 have been applied whereby the experience adjustments are only disclosed prospectively from the (2006 or specify) financial period.</t>
  </si>
  <si>
    <t>4.8 Municipality’s Contribution to Pension Plan</t>
  </si>
  <si>
    <t>The Municipality intends to contribute RX to its defined benefit plan in (STATE YEAR).</t>
  </si>
  <si>
    <t>(Note: There are transitional provisions set out in IAS 19.  It is deemed that the effective date for this standard is 1 July 2007 for high capacity municipalities and 1 July 2009 for medium capacity municipalities.  The transitional provisions will be for a period of 5 years)</t>
  </si>
  <si>
    <t>PENSION BENEFITS (WHERE INFORMATION NOT AVAILABLE DUE TO AGGREGATE EMPLOYER PENSION PLANS)</t>
  </si>
  <si>
    <t>Where a Municipality is unable to quantify its pension benefits, it must complete the information in Note 46.</t>
  </si>
  <si>
    <t>Servitudes</t>
  </si>
  <si>
    <t>Computer software</t>
  </si>
  <si>
    <t>Rights</t>
  </si>
  <si>
    <t>STATE</t>
  </si>
  <si>
    <t>Accumulated amortisation</t>
  </si>
  <si>
    <t>Acquisitions - Internally developed</t>
  </si>
  <si>
    <t>Acquisitions - externally</t>
  </si>
  <si>
    <t>Acquisitions - Business combinations</t>
  </si>
  <si>
    <t>Impairment losses</t>
  </si>
  <si>
    <t>Reversals of impairment losses</t>
  </si>
  <si>
    <t>Classified as held for sale</t>
  </si>
  <si>
    <t>Accumulated amortisation – cost</t>
  </si>
  <si>
    <t>10a</t>
  </si>
  <si>
    <t>DIRECTORS OF ZELPY</t>
  </si>
  <si>
    <t>COMPENSATION</t>
  </si>
  <si>
    <t>MUOFHE MATSHILI - BIOLOGIST</t>
  </si>
  <si>
    <t>RAMUTHIVHELI ELS - SNR ACCOUNTANT</t>
  </si>
  <si>
    <t>The municipality recognized intangible assets as follows:</t>
  </si>
  <si>
    <t>Promis</t>
  </si>
  <si>
    <t>Corvu Business</t>
  </si>
  <si>
    <t>Conlog ver 1.9.2</t>
  </si>
  <si>
    <t>Elster Kent : Cash flow ver 2.2</t>
  </si>
  <si>
    <t>Data Tech: supplier database</t>
  </si>
  <si>
    <t>Payday ver 2.7</t>
  </si>
  <si>
    <t>Contract System</t>
  </si>
  <si>
    <t>ESET NOD32 Antivirus for Microsoft Exchange 91 0</t>
  </si>
  <si>
    <t>List of outstanding debtors for :</t>
  </si>
  <si>
    <t>Water basic</t>
  </si>
  <si>
    <t>Septic tanks</t>
  </si>
  <si>
    <t>Water new connection</t>
  </si>
  <si>
    <t>List of all the deposits for :</t>
  </si>
  <si>
    <t>Total amount (excluding vat)</t>
  </si>
  <si>
    <t>Total allocated cash receipts for :</t>
  </si>
  <si>
    <t>Water connections</t>
  </si>
  <si>
    <t>Water prepaid</t>
  </si>
  <si>
    <t>Water &amp; Sewerag</t>
  </si>
  <si>
    <t>10b</t>
  </si>
  <si>
    <t>S Mlati</t>
  </si>
  <si>
    <t>J Ellis</t>
  </si>
  <si>
    <t>Accumulated Depreciation Amortisation</t>
  </si>
  <si>
    <t>Intangible Assets</t>
  </si>
  <si>
    <t>Investment Assets</t>
  </si>
  <si>
    <t>Sock - Investment</t>
  </si>
  <si>
    <t>Lease Computers</t>
  </si>
  <si>
    <t>MSNA 0040</t>
  </si>
  <si>
    <t>08/03/2011</t>
  </si>
  <si>
    <t>The defined benefit plan was established for all employees (The South Afriacn Local Authorities Pension Fund).  The most recent actuarial valuation was undertaken by S Feldman, B.Sc., CFP, Fellow of the Institute of Actuaties.  The present value of the defined benefit obligation, together with the current and past service cost, was measured using the projected unit credit method.</t>
  </si>
  <si>
    <t>*  Note 10 A</t>
  </si>
  <si>
    <t>*  Note 44</t>
  </si>
  <si>
    <t>*  Note 45</t>
  </si>
  <si>
    <t>*  Note 46</t>
  </si>
  <si>
    <t>*  Note 47</t>
  </si>
  <si>
    <t>DETAILED SEGMENTAL ANALYSIS OF FINANCIAL PERFORMANCE</t>
  </si>
  <si>
    <t>10 A</t>
  </si>
  <si>
    <t>10 B</t>
  </si>
  <si>
    <t>ANALYSIS OF INTANGIBLE ASSETS</t>
  </si>
  <si>
    <t>SEGMENTAL ANALYSIS OF INTANGIBLE ASSETS</t>
  </si>
  <si>
    <t>SEGMENTAL ANALYSIS OF INVESTMENT ASSETS</t>
  </si>
  <si>
    <t>ANALYSIS OF INVESTMENT ASSETS</t>
  </si>
  <si>
    <t>* APPENDIX B (1)</t>
  </si>
  <si>
    <t>* APPENDIX B (2)</t>
  </si>
  <si>
    <t>* APPENDIX C (1)</t>
  </si>
  <si>
    <t>* APPENDIX C (2)</t>
  </si>
  <si>
    <t>*  Note 10 B</t>
  </si>
  <si>
    <t>SARS</t>
  </si>
  <si>
    <t>Total provision leave</t>
  </si>
  <si>
    <t>Calculation of the amount payable by Vhembe District Municipality to Musina Local Municipality, (Promis votes ledger</t>
  </si>
  <si>
    <t>Creditors Provision</t>
  </si>
  <si>
    <t>I certify that the salaries, allowances and benefits of Councillors as disclosed in note 25 and 26 of these annual financial statements are within the upper limits of the framework envisaged in Section 219 of the Constitution, read with the Remuneration of Public Officer Bearers Act and the Minister of Provincial and Local Government’s determination in accordance with this Act.</t>
  </si>
  <si>
    <t>Variance</t>
  </si>
  <si>
    <t>R'm</t>
  </si>
  <si>
    <t xml:space="preserve">The net pension benefit expense is included in employee remuneration. </t>
  </si>
  <si>
    <t>The actuarial value is valid for three years and therefore no previoud year figures is shown as the actuarial valuation was doen in 2006 and is still valid.</t>
  </si>
  <si>
    <t xml:space="preserve">     - Zelpy Pty (Ltd) - Shares</t>
  </si>
  <si>
    <t xml:space="preserve">     - Zelpy Pty (Ltd) - Premium</t>
  </si>
  <si>
    <t>Contributions to Provision for Leave</t>
  </si>
  <si>
    <t>APPENDIX B (2)</t>
  </si>
  <si>
    <t>APPENDIX B (1)</t>
  </si>
  <si>
    <t>ACCUMULATED (SURPLUS)/DEFICIT</t>
  </si>
  <si>
    <t>Vhembe agency fee payable by Vhembe District Municipality to Musina Local Municipality 10% of total income</t>
  </si>
  <si>
    <t>Prior year adjustment</t>
  </si>
  <si>
    <t>Prepaid electricity (power cards)</t>
  </si>
  <si>
    <t>Account number :  4073762047</t>
  </si>
  <si>
    <t>Type : call  account</t>
  </si>
  <si>
    <t>Current account (call account)</t>
  </si>
  <si>
    <t>Unmetered Consumption</t>
  </si>
  <si>
    <t>unmetered meters</t>
  </si>
  <si>
    <t>Unspent grant revenue</t>
  </si>
  <si>
    <t>Unmetered Consumptions</t>
  </si>
  <si>
    <t>Electricity Unmetered Consumptions</t>
  </si>
  <si>
    <t>unmetered consumptions</t>
  </si>
  <si>
    <t>Unmetered consumptions</t>
  </si>
  <si>
    <t>Increase/(decrease) in long term loans/lease</t>
  </si>
  <si>
    <t>Bulk purchases Electricity</t>
  </si>
  <si>
    <t>Pre  GAMAP Funds and Reserves</t>
  </si>
  <si>
    <t>Donation &amp; Public Contribution Reserve</t>
  </si>
  <si>
    <t xml:space="preserve">loss on disposal of property plant </t>
  </si>
  <si>
    <t>IRREGULAR  EXPENDITURE</t>
  </si>
  <si>
    <t>Gain on Non exchange transactions</t>
  </si>
  <si>
    <t>050/455/4135</t>
  </si>
  <si>
    <t>Prov doubtful debt - sundry debtors</t>
  </si>
  <si>
    <t>Prov Envorimental</t>
  </si>
  <si>
    <t>Provision Enviromental</t>
  </si>
  <si>
    <t>Enviromental</t>
  </si>
  <si>
    <t>Prov sundry debtors</t>
  </si>
  <si>
    <t>Unsold Municipal land</t>
  </si>
  <si>
    <t>Prior year mispost of lease expense</t>
  </si>
  <si>
    <t>Prior year mispost of expenses to stocks</t>
  </si>
  <si>
    <t>Incorrect revenue  recognition</t>
  </si>
  <si>
    <t>Land depreciated in prior year</t>
  </si>
  <si>
    <t>Prior year understatement of debtors</t>
  </si>
  <si>
    <t xml:space="preserve">Correction of error </t>
  </si>
  <si>
    <t>According to National Treasury Guideline on GRAP 12 - Inventories, Example 6 (If a municipality has the intention to develop land and sell it to a third party, and it is probable that this event will occur within the short term (one year), the cost of development should be classified as inventories rather than fixed assets.</t>
  </si>
  <si>
    <t>GRAP 12 Par 16 states that "Where inventories are acquired at no cost, or for nominal consideration, their costs shall be their fair value as at the date of acquisition,"</t>
  </si>
  <si>
    <t>Corrections prior year (note 31)</t>
  </si>
  <si>
    <t>Prior year Provision for  Performance Managers</t>
  </si>
  <si>
    <t>Correction of Xerox operating lease incorrectly recorded as PPE in 07/08 book year per Jnl 203946.</t>
  </si>
  <si>
    <t>GRN number 6574 raised to adjust for previous year stocks not delivered.</t>
  </si>
  <si>
    <t>Transfer to accumulated surplus Capital grants used to purchase PPE</t>
  </si>
  <si>
    <t>The following adjustments were made to correct prior year errors</t>
  </si>
  <si>
    <t>Musina local Municipality classified these stands according to GRAP 12, GRAP 17 and National Treasury Guideline on GRAP 12</t>
  </si>
  <si>
    <t>Nett effect on surplus/deficit for the year</t>
  </si>
  <si>
    <t>·         Joint Municipal Pension Fund</t>
  </si>
  <si>
    <t>·         Municipal Employees Pension Fund</t>
  </si>
  <si>
    <t>·         Municipal Gratuity Fund</t>
  </si>
  <si>
    <t>·         SALA Pension Fund</t>
  </si>
  <si>
    <t>Consumer deposits are a partial security for a future payment of an account.  All consumers are therefore required to pay a deposit equal to an average consumption of electricity and water services.  Deposits are considered a liability as the deposit is only refunded once the service is terminated.  No interest is paid on deposits.</t>
  </si>
  <si>
    <t>010/020/0005</t>
  </si>
  <si>
    <t>gonernment</t>
  </si>
  <si>
    <t>010/020/0011</t>
  </si>
  <si>
    <t>small holdings</t>
  </si>
  <si>
    <t>010/041/0255</t>
  </si>
  <si>
    <t>010/041/0258</t>
  </si>
  <si>
    <t>Tenders</t>
  </si>
  <si>
    <t>010/041/0259</t>
  </si>
  <si>
    <t>Com Old Mutual</t>
  </si>
  <si>
    <t>010/161/0118</t>
  </si>
  <si>
    <t>Humanitarian Grant</t>
  </si>
  <si>
    <t>010/300/1013</t>
  </si>
  <si>
    <t>010/310/1021</t>
  </si>
  <si>
    <t>020/440/1301</t>
  </si>
  <si>
    <t>027/440/1350</t>
  </si>
  <si>
    <t>030/440/1301</t>
  </si>
  <si>
    <t>031/300/1009</t>
  </si>
  <si>
    <t>Acting allow</t>
  </si>
  <si>
    <t>031/440/1337</t>
  </si>
  <si>
    <t>special activities</t>
  </si>
  <si>
    <t>050/161/0102</t>
  </si>
  <si>
    <t>050/300/1005</t>
  </si>
  <si>
    <t>050/350/1072</t>
  </si>
  <si>
    <t>064/300/1013</t>
  </si>
  <si>
    <t>066/380/1318</t>
  </si>
  <si>
    <t>080/300/1017</t>
  </si>
  <si>
    <t>081/040/0140</t>
  </si>
  <si>
    <t>081/161/0073</t>
  </si>
  <si>
    <t>mig</t>
  </si>
  <si>
    <t>081/440/1369</t>
  </si>
  <si>
    <t>082/070/0134</t>
  </si>
  <si>
    <t>084/040/0124</t>
  </si>
  <si>
    <t>100/041/0260</t>
  </si>
  <si>
    <t>for the year ended 30 June 2010</t>
  </si>
  <si>
    <t>2010</t>
  </si>
  <si>
    <t>ACTUAL 09/10</t>
  </si>
  <si>
    <t>RUMERATION COUNCILLORS</t>
  </si>
  <si>
    <t>30 JUNE 2010</t>
  </si>
  <si>
    <t>MOVEMENTS DEBITS 09/10</t>
  </si>
  <si>
    <t>MOVEMENTS CREDITS 09/10</t>
  </si>
  <si>
    <t>Electrification project</t>
  </si>
  <si>
    <t>Sport Centre Madimbo (Mig)</t>
  </si>
  <si>
    <t>Community Hall Malale (Mig)</t>
  </si>
  <si>
    <t>Sport Centre Nancefield Ext 6 (Mig)</t>
  </si>
  <si>
    <t>Refund SWL Augustyn</t>
  </si>
  <si>
    <t>Boabab Petrolium</t>
  </si>
  <si>
    <t>2009/2010</t>
  </si>
  <si>
    <t>Humanitarial Relief Grant</t>
  </si>
  <si>
    <t>IEC Voting Station</t>
  </si>
  <si>
    <t>Commision Old Mutual</t>
  </si>
  <si>
    <t>Traffic Training</t>
  </si>
  <si>
    <t>medical</t>
  </si>
  <si>
    <t>pension</t>
  </si>
  <si>
    <t>uif</t>
  </si>
  <si>
    <t>group</t>
  </si>
  <si>
    <t>acting</t>
  </si>
  <si>
    <t>full time</t>
  </si>
  <si>
    <t>mayor</t>
  </si>
  <si>
    <t>travel</t>
  </si>
  <si>
    <t>30 June 2010</t>
  </si>
  <si>
    <t>Outstanding 30 June 2010</t>
  </si>
  <si>
    <t xml:space="preserve"> Balance at  30 June 2009</t>
  </si>
  <si>
    <t>Balance at  30 June 2010</t>
  </si>
  <si>
    <t>081/161/1299</t>
  </si>
  <si>
    <t>DISCRIPTION</t>
  </si>
  <si>
    <t>REVENUE FORGONE</t>
  </si>
  <si>
    <t>TOTALS LINKED TO TRIAL BALANCE</t>
  </si>
  <si>
    <t>UNSPEND</t>
  </si>
  <si>
    <t>084/040/0048</t>
  </si>
  <si>
    <t>UNMETERED</t>
  </si>
  <si>
    <t>USER</t>
  </si>
  <si>
    <t>PRE-PAID</t>
  </si>
  <si>
    <t>TRAFFIC</t>
  </si>
  <si>
    <t>LESLEY MANYATHELA</t>
  </si>
  <si>
    <t>Membership Library</t>
  </si>
  <si>
    <t>Grave fees</t>
  </si>
  <si>
    <t>clearance</t>
  </si>
  <si>
    <t>Gain on sale of stands</t>
  </si>
  <si>
    <t>Rent other council prop</t>
  </si>
  <si>
    <t>ELEC PRE-PAID</t>
  </si>
  <si>
    <t>GRANT</t>
  </si>
  <si>
    <t>Consumers Deposits other</t>
  </si>
  <si>
    <t>Consumers Deposits elec</t>
  </si>
  <si>
    <t>6469</t>
  </si>
  <si>
    <t>Lesley Manyathela I(Mig)</t>
  </si>
  <si>
    <t>Zelpy3</t>
  </si>
  <si>
    <t>Advanced Payments</t>
  </si>
  <si>
    <t>Advanced payments transfer to Vhembe</t>
  </si>
  <si>
    <t>Carrying values at 1 July 2009</t>
  </si>
  <si>
    <t>Carrying values at 30 June 2010</t>
  </si>
  <si>
    <t xml:space="preserve">Advanced payments transfer </t>
  </si>
  <si>
    <t>Guarantees held in lieu of electricity deposits</t>
  </si>
  <si>
    <t>082/180/5100</t>
  </si>
  <si>
    <t>Less non monetary transactions;</t>
  </si>
  <si>
    <t>Less;</t>
  </si>
  <si>
    <t>Non monetary exchange gain on Municipal Land</t>
  </si>
  <si>
    <t>Unmetered consumption</t>
  </si>
  <si>
    <t>Decrease in debtors</t>
  </si>
  <si>
    <t>prov environmental</t>
  </si>
  <si>
    <t>advanced pre-paid</t>
  </si>
  <si>
    <t>Account number :  4074881456</t>
  </si>
  <si>
    <t>Type : Traffic</t>
  </si>
  <si>
    <t>interest outstanding debtors</t>
  </si>
  <si>
    <t>Prior year correction foreign transaction stock</t>
  </si>
  <si>
    <t>Prior year correction trade creditors</t>
  </si>
  <si>
    <t>Prior year correction creditors provisions</t>
  </si>
  <si>
    <t>Prior year correction debtors</t>
  </si>
  <si>
    <t>Prior year correction creditors general</t>
  </si>
  <si>
    <t>Prior year correction vat receivable</t>
  </si>
  <si>
    <t xml:space="preserve">MES Engineering </t>
  </si>
  <si>
    <t>Arrangements for payments on debtors accounts</t>
  </si>
  <si>
    <t>Finance Cost</t>
  </si>
  <si>
    <t>Correction</t>
  </si>
  <si>
    <t>SUB TOTAL REVENUE</t>
  </si>
  <si>
    <t>Finance Income</t>
  </si>
  <si>
    <t>TOTAL REVENUE</t>
  </si>
  <si>
    <t>EXPENDITURE BEFORE FINANCE COST</t>
  </si>
  <si>
    <t>TOTAL EXPENDITURE</t>
  </si>
  <si>
    <t>Original Budget</t>
  </si>
  <si>
    <t>Budget Adjustment</t>
  </si>
  <si>
    <t>Virement</t>
  </si>
  <si>
    <t>010/440/1389</t>
  </si>
  <si>
    <t>022/440/1301</t>
  </si>
  <si>
    <t>025/440/1369</t>
  </si>
  <si>
    <t>VALUATION ROLL</t>
  </si>
  <si>
    <t>050/440/1301</t>
  </si>
  <si>
    <t>ADVERTISING</t>
  </si>
  <si>
    <t>ALLOWANCE</t>
  </si>
  <si>
    <t>052/440/1301</t>
  </si>
  <si>
    <t>052/440/1367</t>
  </si>
  <si>
    <t>065/300/1012</t>
  </si>
  <si>
    <t>housing</t>
  </si>
  <si>
    <t>080/440/1301</t>
  </si>
  <si>
    <t>080/440/1340</t>
  </si>
  <si>
    <t>090/300/1001</t>
  </si>
  <si>
    <t>090/300/1002</t>
  </si>
  <si>
    <t>090/300/1004</t>
  </si>
  <si>
    <t>APPENDIX E (1)a</t>
  </si>
  <si>
    <t>STATEMENT OF COMPARATIVE AND ACTUAL INFORMATION</t>
  </si>
  <si>
    <t>Final Budget</t>
  </si>
  <si>
    <t>Actual Outcome</t>
  </si>
  <si>
    <t>Unauthorised Expenditure</t>
  </si>
  <si>
    <t>Actual Outcome as % of Final Budget</t>
  </si>
  <si>
    <t>temporary</t>
  </si>
  <si>
    <t>Actual Outcome as % of Original Budget</t>
  </si>
  <si>
    <t>Sub Total creditors</t>
  </si>
  <si>
    <t>Opening Balance 08/09</t>
  </si>
  <si>
    <t>Closing Balance 09/10</t>
  </si>
  <si>
    <t>Budget Additions 2010</t>
  </si>
  <si>
    <t>Rental</t>
  </si>
  <si>
    <t>Computer Hardware</t>
  </si>
  <si>
    <t>Township establish</t>
  </si>
  <si>
    <t>Transaction fees</t>
  </si>
  <si>
    <t>Production Drivers</t>
  </si>
  <si>
    <t>Transaction Fees</t>
  </si>
  <si>
    <t>Township Establishment</t>
  </si>
  <si>
    <t>Protective clothing</t>
  </si>
  <si>
    <t>Internal study</t>
  </si>
  <si>
    <t>Internal Auditors</t>
  </si>
  <si>
    <t>External Auditors</t>
  </si>
  <si>
    <t>Bank Admin Fee</t>
  </si>
  <si>
    <t>Campaign Cleaning</t>
  </si>
  <si>
    <t>Community Liason</t>
  </si>
  <si>
    <t>Conference &amp; Convention</t>
  </si>
  <si>
    <t>Mayoral exellence award</t>
  </si>
  <si>
    <t>It Lease</t>
  </si>
  <si>
    <t>Internal Study</t>
  </si>
  <si>
    <t>Job Evaluation</t>
  </si>
  <si>
    <t>Medical examination</t>
  </si>
  <si>
    <t>Membership fees</t>
  </si>
  <si>
    <t>Musina Annual Show</t>
  </si>
  <si>
    <t>Printing &amp; Stationary</t>
  </si>
  <si>
    <t>Production Drivers Cards</t>
  </si>
  <si>
    <t>Protective Clothing</t>
  </si>
  <si>
    <t>Special Activities</t>
  </si>
  <si>
    <t>Subsistance &amp; Travel</t>
  </si>
  <si>
    <t>Youth Assistance</t>
  </si>
  <si>
    <t>Revenue unspend grant - Capital</t>
  </si>
  <si>
    <t>RELATED PARTY DISCLOSURE</t>
  </si>
  <si>
    <t xml:space="preserve">     Total 30 June 2009</t>
  </si>
  <si>
    <t xml:space="preserve">     Total July 2009 to June 2010</t>
  </si>
  <si>
    <t xml:space="preserve">     Total July 2010</t>
  </si>
  <si>
    <t xml:space="preserve">Expenditure Amount  Allocated to Zelpy </t>
  </si>
  <si>
    <t>Open Edge Tech (Web- site)</t>
  </si>
  <si>
    <t>GD Marketing</t>
  </si>
  <si>
    <t>Auditor General</t>
  </si>
  <si>
    <t>Funds Transfer</t>
  </si>
  <si>
    <t>Salaris</t>
  </si>
  <si>
    <t>Eskom</t>
  </si>
  <si>
    <t>creditors</t>
  </si>
  <si>
    <t>Registration</t>
  </si>
  <si>
    <t>TRADE AND OTHER RECEIVABLES FROM</t>
  </si>
  <si>
    <t>EXCHANGE TRANSACTIONS</t>
  </si>
  <si>
    <t>NON EXCHANGE TRANSACTIONS</t>
  </si>
  <si>
    <t>Propery Rates</t>
  </si>
  <si>
    <t>Licences and Permits</t>
  </si>
  <si>
    <t>Government Grants and Subsidies</t>
  </si>
  <si>
    <t>Rentals of Facilities</t>
  </si>
  <si>
    <t>Interest earned - External Investment</t>
  </si>
  <si>
    <t>Interest earned - Outstanding Debtors</t>
  </si>
  <si>
    <t>BALANCE</t>
  </si>
  <si>
    <t>INTEREST PAID DBSA</t>
  </si>
  <si>
    <t xml:space="preserve">(DBSA) MUN BUILDING </t>
  </si>
  <si>
    <t xml:space="preserve">(DBSA) REFUSE COMPACTER </t>
  </si>
  <si>
    <t>(DBSA) ROADS 1</t>
  </si>
  <si>
    <t>(DBSA) MANAGERS OFFICE PROJECT</t>
  </si>
  <si>
    <t>(DBSA) ROADS 2</t>
  </si>
  <si>
    <t>(DBSA) NEW BUILDING PHASE 1</t>
  </si>
  <si>
    <t>(DBSA) INFRASTRUCTURE</t>
  </si>
  <si>
    <t>(DBSA) LESLEY MANHATHELA</t>
  </si>
  <si>
    <t>(DBSA) MUN BUILDING PHASE 2</t>
  </si>
  <si>
    <t>(DBSA) WORKSHOP</t>
  </si>
  <si>
    <t>(BANKFIN) TOYOTA HILUX 2.5D-4D</t>
  </si>
  <si>
    <t>(BANKFIN) 2008 S.A.M.E EXPLORER 85 SPE</t>
  </si>
  <si>
    <t>(BANKFIN) 2008 TOYOTA DYNA 7-105 4.5 TO</t>
  </si>
  <si>
    <t>(BANKFIN) TOYOTA HILUX 4.0 D/C RAI</t>
  </si>
  <si>
    <t>(BANKFIN) AVESIS 2.0 ADVAN</t>
  </si>
  <si>
    <t>(BANKFIN) 2008 RCEDES BENZ MO350(W164)</t>
  </si>
  <si>
    <t>(BANKFIN) 2008 HINO 13-237</t>
  </si>
  <si>
    <t xml:space="preserve">(INCA) ELECTRICITY </t>
  </si>
  <si>
    <t>TRADE AND OTHER RECEIVABLES FROM EXCHANGE TRANSACTIONS</t>
  </si>
  <si>
    <t>TRADE AND OTHER RECEIVABLES FROM NON EXCHANGE TRANSACTIONS</t>
  </si>
  <si>
    <t>* APPENDIX E(1)A</t>
  </si>
  <si>
    <t>STATEMENT OF COMPARITIVE AND ACTUAL INFORMATION</t>
  </si>
  <si>
    <t xml:space="preserve">              Closing Balance 09/10</t>
  </si>
  <si>
    <t xml:space="preserve">                Opening Balance 08/09</t>
  </si>
  <si>
    <t xml:space="preserve">                  Opening Balance 08/09</t>
  </si>
  <si>
    <t>CLOSING BAL 09/10</t>
  </si>
  <si>
    <t>Zelpy 1903 (Pty) Ltd is a entity ot the Municipality and the municipality is the only share holder</t>
  </si>
  <si>
    <t>Balance at 30 June 2010</t>
  </si>
  <si>
    <t>Sub Accumulated surplus:  end of year</t>
  </si>
  <si>
    <t xml:space="preserve"> 1 year</t>
  </si>
  <si>
    <t>Consultance &amp; Professional</t>
  </si>
  <si>
    <t>Consumable Domestic items</t>
  </si>
  <si>
    <t>Paupers Burials</t>
  </si>
  <si>
    <t>VAT is payable on the receipt basis. VAT is paid over to SARS once payments are received from debtors.  VAT input receivables and VAT output receivable are shown in notes 16 and 8 respectively.  All VAT returns have been submitted by the due date throughout the year.</t>
  </si>
  <si>
    <t xml:space="preserve">ADDITIONAL DISCLOSURES IN TERMS OF SECTION 125 OF MUNICIPAL FINANCE MANAGEMENT ACT, 2003 </t>
  </si>
  <si>
    <t>Less Collected</t>
  </si>
  <si>
    <t>Collected more</t>
  </si>
  <si>
    <t>Lack of staff</t>
  </si>
  <si>
    <t>More Applications</t>
  </si>
  <si>
    <t>Dispute with Vhembe</t>
  </si>
  <si>
    <t>Unspend portion 2010/2011</t>
  </si>
  <si>
    <t>Sale of stands not realized in 09/10 only 10/11</t>
  </si>
  <si>
    <t>Not a cash transaction</t>
  </si>
  <si>
    <t>Leave calculation corrected</t>
  </si>
  <si>
    <t>Accumulated (surplus)/Deficit:  beginning of year</t>
  </si>
  <si>
    <t>Operating (surplus)/deficit for the year</t>
  </si>
  <si>
    <t>Contracted services (Security)</t>
  </si>
  <si>
    <t>·         National fund for Municipal workers</t>
  </si>
  <si>
    <t>Government Grant transfer to reserve</t>
  </si>
  <si>
    <t>Stock stands</t>
  </si>
  <si>
    <r>
      <t xml:space="preserve">I, </t>
    </r>
    <r>
      <rPr>
        <b/>
        <sz val="10"/>
        <rFont val="Arial"/>
        <family val="2"/>
      </rPr>
      <t>Abram Ntshavheni Luruli</t>
    </r>
    <r>
      <rPr>
        <sz val="10"/>
        <rFont val="Arial"/>
        <family val="2"/>
      </rPr>
      <t>, Municipal Manager, certify that the remuneration of councillors are in accordance with the Public Office Bearers Act, Act 20 of 1998 and the Minister of Provincial and Local Government’s determination of the upper limits of the salaries, allowances and benefits as promulgated by Government Gazette 32833, dated  21 December 2009 under Notice number R 1225.</t>
    </r>
  </si>
  <si>
    <t>Amount paid current year sars</t>
  </si>
  <si>
    <t>Total outstanding debtors for 01 July 2009 to 30 June 2010</t>
  </si>
  <si>
    <t>Total amount  as on 30 June 2010</t>
  </si>
  <si>
    <t>Total billings for the year 01 July 2009 to 30 June 2010 for :</t>
  </si>
  <si>
    <t>Assets bought 09/10</t>
  </si>
  <si>
    <t>Pest Control</t>
  </si>
  <si>
    <t>Project Farmers</t>
  </si>
  <si>
    <t>Prior year price adj issues</t>
  </si>
  <si>
    <t>SUNLYN RENTALS (PTY) LTD</t>
  </si>
  <si>
    <t>TECHNOLOGIES ACCEPTANCE</t>
  </si>
  <si>
    <t>Traffic Fines</t>
  </si>
  <si>
    <t>As Vhembe District Municipality is the Water Services Authority and Musina Local Municipality is the water services provider , how ever the service level agreement was in dispute and the dispute was lodged with National Treasury for a final decision. The final decision from National Treasury states that all assets should be in the books of Vhembe Districtt Municipality therefor Musina Local Municipality will not include any water transations or assets in there Annual Financial Statements. The following transactions are involved:</t>
  </si>
  <si>
    <t>Solly Noor</t>
  </si>
  <si>
    <t>Sunlyn Rentals</t>
  </si>
  <si>
    <t>Accumulated Depretiation Itangible</t>
  </si>
  <si>
    <t>Stale cheques not cancelled</t>
  </si>
  <si>
    <t>Movement</t>
  </si>
  <si>
    <t>correction</t>
  </si>
  <si>
    <t xml:space="preserve">During the current financial year the following grant was made in Zelpy 1903 Pty Ltd.  </t>
  </si>
  <si>
    <t>Software</t>
  </si>
  <si>
    <t>Depreciation Correction</t>
  </si>
  <si>
    <t>Depreciation correction</t>
  </si>
  <si>
    <t>010/440/1404</t>
  </si>
  <si>
    <t>Cutt off revenue billing elec</t>
  </si>
  <si>
    <t>Cutt off revenue billing</t>
  </si>
  <si>
    <t>Commitments in respect of expenditure:</t>
  </si>
  <si>
    <t>Open Edge</t>
  </si>
  <si>
    <t>Audit fees internal</t>
  </si>
  <si>
    <t>Contractors</t>
  </si>
  <si>
    <t>Security</t>
  </si>
  <si>
    <t>See Note 10B, Appendix B(2) and Appendix C(2)</t>
  </si>
  <si>
    <t>Prior year unspend grant</t>
  </si>
  <si>
    <t>082/450/1502</t>
  </si>
  <si>
    <t>Increase/(decrease) in investments</t>
  </si>
  <si>
    <r>
      <t>Made up as follows</t>
    </r>
    <r>
      <rPr>
        <b/>
        <i/>
        <sz val="10"/>
        <rFont val="Arial"/>
        <family val="2"/>
      </rPr>
      <t>:</t>
    </r>
  </si>
  <si>
    <t>Due to insurgance of Zimbabwean citizens into Musina, all services rendered to the town were under enormous strain.  We were therefore neccesitated to use the goverment grants, for unforeseen expences</t>
  </si>
  <si>
    <t>Due to contracts that were extended or renewed to such an extent that competitive bidding processes were being circumvented.</t>
  </si>
  <si>
    <t>Due to deviations from the procurement processes (invitations of three written quotations, increase to bidding price, and no relevant contract or tender documentation) that were approved on the basis of it being an emergency, while it was possible to comply with the requirements or where proper planning would have prevented the deviations.</t>
  </si>
  <si>
    <t>Retention Lesley Manyathela</t>
  </si>
  <si>
    <t xml:space="preserve">FRUITLESS AND WASTEFUL EXPENDITURE </t>
  </si>
  <si>
    <t>Due to interest paid off a result off late payments to suppliers</t>
  </si>
  <si>
    <t>TOTAL IRREGULAR EXPENDITURE</t>
  </si>
  <si>
    <t>KPBM</t>
  </si>
  <si>
    <t>Freedom T. Boikanyo</t>
  </si>
  <si>
    <t>Morokolo Communications</t>
  </si>
  <si>
    <t>African Renaissance</t>
  </si>
  <si>
    <t>Open Edge Finance</t>
  </si>
  <si>
    <t>Micromath</t>
  </si>
  <si>
    <t>Plankonsult</t>
  </si>
  <si>
    <t>Mbatini Electrical CC</t>
  </si>
  <si>
    <t>Other receivables</t>
  </si>
  <si>
    <t>Zelpy 1903 pty ltd</t>
  </si>
  <si>
    <t>Dbsa</t>
  </si>
  <si>
    <t xml:space="preserve">TOTAL FRUITLESS AND WASTEFUL EXPENDITURE </t>
  </si>
  <si>
    <t>SUB TOTAL</t>
  </si>
  <si>
    <t>Municipal Infrastructure</t>
  </si>
  <si>
    <t>first draft</t>
  </si>
  <si>
    <t>difference first draft &amp; final</t>
  </si>
  <si>
    <t>Vonitel Radio</t>
  </si>
  <si>
    <t>Ramadwa building construction</t>
  </si>
  <si>
    <t>30 JUNE 2011</t>
  </si>
  <si>
    <t>30 June 2011</t>
  </si>
  <si>
    <t>2011</t>
  </si>
  <si>
    <t>for the year ended 30 June 2011</t>
  </si>
  <si>
    <t>Balance at 30 June 2011</t>
  </si>
  <si>
    <t>TOTAL INTANGIBLE ASSETS</t>
  </si>
  <si>
    <t>2010/2011</t>
  </si>
  <si>
    <t>TOTAL VALUATION</t>
  </si>
  <si>
    <t>TOTAL GENERAL EXPENDITURE</t>
  </si>
  <si>
    <t>The following councillors had arrear accounts outstanding for more than 90 days as at 30 June 2011:</t>
  </si>
  <si>
    <t xml:space="preserve"> Total 30 June 2010</t>
  </si>
  <si>
    <t xml:space="preserve"> 30 June 2011</t>
  </si>
  <si>
    <t>During 2011</t>
  </si>
  <si>
    <t>Outstanding 30 June 2011</t>
  </si>
  <si>
    <t>ANNUAL FINANCIAL STATEMENTS                                               FOR THE YEAR ENDED 30 JUNE 2011</t>
  </si>
  <si>
    <t>MOVEMENTS DEBITS 10/11</t>
  </si>
  <si>
    <t>MOVEMENTS CREDITS 10/11</t>
  </si>
  <si>
    <t>CLOSING BAL 10/11</t>
  </si>
  <si>
    <t>FINAL CLOSING BALANCES FOR 10/11</t>
  </si>
  <si>
    <t>ACTUAL 10/11</t>
  </si>
  <si>
    <t>ACTUALS 09/10</t>
  </si>
  <si>
    <t>ACTUALS 10/11</t>
  </si>
  <si>
    <t xml:space="preserve">                  Opening Balance  09/10</t>
  </si>
  <si>
    <t xml:space="preserve">              Closing Balance 10/11</t>
  </si>
  <si>
    <t xml:space="preserve">                Opening Balance 09/10</t>
  </si>
  <si>
    <t>Budget Additions 2011</t>
  </si>
  <si>
    <t>as at 30 June 2011</t>
  </si>
  <si>
    <t xml:space="preserve">                  Opening Balance 09/10</t>
  </si>
  <si>
    <t>Carrying values at 30 June 2011</t>
  </si>
  <si>
    <t>Opening Balance 09/10</t>
  </si>
  <si>
    <t>Closing Balance 10/11</t>
  </si>
  <si>
    <t>Carrying values at 1 July 2010</t>
  </si>
  <si>
    <t>Balance at  30 June 2011</t>
  </si>
  <si>
    <t>actual 09/10</t>
  </si>
  <si>
    <t>actual 10/11</t>
  </si>
  <si>
    <t>INCOME</t>
  </si>
  <si>
    <t>SALARY</t>
  </si>
  <si>
    <t>GENERAL EXPENDITURE</t>
  </si>
  <si>
    <t>TOTAL INCOME FOREGONE</t>
  </si>
  <si>
    <t>Value of cards as at 30 June 2011</t>
  </si>
  <si>
    <t>TOTAL ELECTRICITY PRE-PAID POWER CARDS</t>
  </si>
  <si>
    <t>RENTAL OF FACILITIES AND EQUIPMENT</t>
  </si>
  <si>
    <t>Rental of facilities</t>
  </si>
  <si>
    <t>Rental of equipment</t>
  </si>
  <si>
    <t>Other rentals</t>
  </si>
  <si>
    <t>Total rentals</t>
  </si>
  <si>
    <t>Unspent amount transferred to liabilities (see note 8)</t>
  </si>
  <si>
    <t>DBSA GRANT (Humanitarian relief Grant)</t>
  </si>
  <si>
    <t>INTEREST EARNED - EXTERNAL INVESTMENTS</t>
  </si>
  <si>
    <t>Bank (current account</t>
  </si>
  <si>
    <t>TOTAL INTEREST EARNED - EXTERNAL INVESTMENTS</t>
  </si>
  <si>
    <t>TOTAL INTEREST OUTSTANDING DEBTORS</t>
  </si>
  <si>
    <t>OTHER INCOME, PUBLIC CONTRIBUTIONS AND DONATIONS</t>
  </si>
  <si>
    <t>Other income</t>
  </si>
  <si>
    <t>Total Other Income</t>
  </si>
  <si>
    <t>Public contributions and donations</t>
  </si>
  <si>
    <t>Public contributions - Conditional</t>
  </si>
  <si>
    <t>Public contributions - Unconditional</t>
  </si>
  <si>
    <t>Total public contributions and donations</t>
  </si>
  <si>
    <t>Reconciliation of conditional contributions</t>
  </si>
  <si>
    <t xml:space="preserve">Balance unspent at beginning of year </t>
  </si>
  <si>
    <t xml:space="preserve">Current year receipts </t>
  </si>
  <si>
    <t>Conditions met - transferred to revenue</t>
  </si>
  <si>
    <t>DEPRECIATION AND AMORTISATION EXPENSE</t>
  </si>
  <si>
    <t>Investment property carried at cost</t>
  </si>
  <si>
    <t>Biological assets carried at cost</t>
  </si>
  <si>
    <t xml:space="preserve">Total Depreciation and Amortisation </t>
  </si>
  <si>
    <t>CONTRACTED SERVICES</t>
  </si>
  <si>
    <t>Contracted services for:</t>
  </si>
  <si>
    <t>GAIN / (LOSS) ON SALE OF ASSETS</t>
  </si>
  <si>
    <t xml:space="preserve">Investment property </t>
  </si>
  <si>
    <t xml:space="preserve">Biological assets </t>
  </si>
  <si>
    <t>Other financial assets</t>
  </si>
  <si>
    <t xml:space="preserve">Total Gain / (Loss) on Sale of Assets </t>
  </si>
  <si>
    <t>CHANGE IN ESTIMATE</t>
  </si>
  <si>
    <t>The useful life of certain plant was estimated in 20x0 to be x years. In the current period management have revised their estimate to x years. The effect of this revision has increased the depreciation charges for the current and future periods by R -.</t>
  </si>
  <si>
    <t>UNAUTHORISED, IRREGULAR, FRUITLESS AND WASTEFUL EXPENDITURE DISALLOWED</t>
  </si>
  <si>
    <t>Amount paid - current year</t>
  </si>
  <si>
    <t>Amount paid - previous years</t>
  </si>
  <si>
    <t>Balance unpaid (included in payables)</t>
  </si>
  <si>
    <t>Audit fees  (Internal &amp; External)</t>
  </si>
  <si>
    <t>Amount paid - current</t>
  </si>
  <si>
    <t>Current year payroll deductions</t>
  </si>
  <si>
    <t>IN-KIND DONATIONS AND ASSISTANCE</t>
  </si>
  <si>
    <t>The Municipality received the following in-kind donations and assistance</t>
  </si>
  <si>
    <t>Description</t>
  </si>
  <si>
    <t xml:space="preserve">Other </t>
  </si>
  <si>
    <t>RISK MANAGEMENT</t>
  </si>
  <si>
    <t>Maximum credit risk exposure</t>
  </si>
  <si>
    <t>Credit risk consists mainly of cash deposits, cash equivalents and trade debtors. The municipality only deposits cash with major banks with high quality credit standing and limits exposure to any one counter-party.</t>
  </si>
  <si>
    <t>Trade receivables comprise a widespread customer base. Management evaluates credit risk relating to customers on an ongoing basis. If customers are independently rated, these ratings are used. Otherwise, if there is no independent rating, risk control assesses the credit quality of the customer, taking into account its financial position, past experience and other factors. Individual risk limits are set based on internal or external ratings in accordance with limits set by the board. The utilisation of credit limits is regularly monitored. Sales to retail customers are settled in cash or using major credit cards. Credit guarantee insurance is purchased when deemed appropriate.</t>
  </si>
  <si>
    <t>Financial assets exposed to credit risk at year end were as follows:</t>
  </si>
  <si>
    <t>Bank A</t>
  </si>
  <si>
    <t>Bank B</t>
  </si>
  <si>
    <t>Interest rate swaps</t>
  </si>
  <si>
    <t>Financial guarantees</t>
  </si>
  <si>
    <t>Trade and other receivables</t>
  </si>
  <si>
    <t>These balances represent the maximum exposure to credit risk.</t>
  </si>
  <si>
    <t>The municipality is exposed to a number of guarantees for the overdraft facilities of Group companies and for guarantees issued in favour of the creditors of A (Pty) Ltd. Refer to note {N#} for additional details.</t>
  </si>
  <si>
    <t>Liquidity risk</t>
  </si>
  <si>
    <t>The municipality’s risk to liquidity is a result of the funds available to cover future commitments. The municipality manages liquidity risk through an ongoing review of future commitments and credit facilities.</t>
  </si>
  <si>
    <t>Cash flow forecasts are prepared and adequate utilised borrowing facilities are monitored.</t>
  </si>
  <si>
    <t xml:space="preserve">The table below analyses the municipality’s financial liabilities into relevant maturity groupings based on the remaining period at the Statement of Financial Position to the contractual maturity date. The amounts disclosed in the table are the contractual undiscounted cash flows. </t>
  </si>
  <si>
    <t>20x1</t>
  </si>
  <si>
    <t>Gross finance lease obligations</t>
  </si>
  <si>
    <t>Borrowings</t>
  </si>
  <si>
    <t>20x0</t>
  </si>
  <si>
    <t>Interest rate risk</t>
  </si>
  <si>
    <t>As the municipality has no significant interest-bearing assets, the municipality’s income and operating cash flows are substantially independent of changes in market interest rates.</t>
  </si>
  <si>
    <t>OR</t>
  </si>
  <si>
    <t xml:space="preserve">The municipality’s interest rate risk arises from long-term borrowings. Borrowings issued at variable rates expose the group to cash flow interest rate risk. Borrowings issued at fixed rates expose the municipality to fair value interest rate risk. Municipality policy is to maintain approximately 60% of its borrowings in fixed rate instruments. </t>
  </si>
  <si>
    <t>At year end, financial instruments exposed to interest rate risk were as follows:</t>
  </si>
  <si>
    <t>- Call deposits</t>
  </si>
  <si>
    <t>- Notice deposits</t>
  </si>
  <si>
    <t>- Long term annuity</t>
  </si>
  <si>
    <t>- Development Bank of South Africa loan</t>
  </si>
  <si>
    <t>- ABSA overdraft</t>
  </si>
  <si>
    <t>Other price risk</t>
  </si>
  <si>
    <t>Examples include changes in commodity prices</t>
  </si>
  <si>
    <t>RESTATEMENT OF COMPARATIVE INFORMATION</t>
  </si>
  <si>
    <t>Provision for leave and bonusses have been reclassified as accruals. The effect of the restatement is summarised below:</t>
  </si>
  <si>
    <t>Statement of Financial Position:</t>
  </si>
  <si>
    <t>Accruals - leave</t>
  </si>
  <si>
    <t>Accruals - bonusses</t>
  </si>
  <si>
    <t>COMPARISON WITH THE BUDGET</t>
  </si>
  <si>
    <t>The comparison of the Municipality’s actual financial performance with that budgeted is set out in Annexures E(1) and E(2)</t>
  </si>
  <si>
    <t>RETIREMENT BENEFIT INFORMATION</t>
  </si>
  <si>
    <t>CAPITAL COMMITMENTS</t>
  </si>
  <si>
    <t>Provision for rehabilitation of landfill sites</t>
  </si>
  <si>
    <t>Provision for long-service awards</t>
  </si>
  <si>
    <t xml:space="preserve">Total Non-Current Provisions </t>
  </si>
  <si>
    <t>The movement in the non-current provision is reconciled as follows: -</t>
  </si>
  <si>
    <t>Provision for rehabilitation of landfill sites:</t>
  </si>
  <si>
    <t>Balance at the beginning of year</t>
  </si>
  <si>
    <t xml:space="preserve">Contributions to provision </t>
  </si>
  <si>
    <t xml:space="preserve">Expenditure incurred </t>
  </si>
  <si>
    <t xml:space="preserve">Increase in provision due to discounting </t>
  </si>
  <si>
    <t xml:space="preserve">Transfer to current provisions </t>
  </si>
  <si>
    <t>Balance at the end of year</t>
  </si>
  <si>
    <t>Provision for long-service awards:</t>
  </si>
  <si>
    <t>NON-CURRENT PROVISIONS</t>
  </si>
  <si>
    <t xml:space="preserve">Performance bonus </t>
  </si>
  <si>
    <t>Provision for leave</t>
  </si>
  <si>
    <t>Other provisions</t>
  </si>
  <si>
    <t xml:space="preserve">Total Provisions </t>
  </si>
  <si>
    <t>The movement in current provisions are reconciled as follows: -</t>
  </si>
  <si>
    <t>7.1</t>
  </si>
  <si>
    <t>as at 1 July 2010</t>
  </si>
  <si>
    <t>NON-CURRENT ASSETS HELD FOR SALE</t>
  </si>
  <si>
    <t xml:space="preserve">State details on non-current assets held for sale including description of the assets and the facts and circumstances that resulted in it being classified as such. </t>
  </si>
  <si>
    <t>BORROWINGS</t>
  </si>
  <si>
    <t>Cash and cash equivalents consist of the following:</t>
  </si>
  <si>
    <t>Cash on hand</t>
  </si>
  <si>
    <t>Cash at bank</t>
  </si>
  <si>
    <t>Call deposits</t>
  </si>
  <si>
    <t>Reconciliation of the doubtful debt provision</t>
  </si>
  <si>
    <t>Contributions to provision</t>
  </si>
  <si>
    <t>Doubtful debts written off against provision</t>
  </si>
  <si>
    <t>Opening balance of inventories:</t>
  </si>
  <si>
    <t>Consumable stores - at cost</t>
  </si>
  <si>
    <t>Maintenance materials - at cost</t>
  </si>
  <si>
    <t xml:space="preserve">Spare parts – at net realisable value </t>
  </si>
  <si>
    <t xml:space="preserve">Other goods held for resale – at cost </t>
  </si>
  <si>
    <t>Additions:</t>
  </si>
  <si>
    <t>Consumable stores</t>
  </si>
  <si>
    <t xml:space="preserve">Maintenance materials </t>
  </si>
  <si>
    <t>Spare parts</t>
  </si>
  <si>
    <t>Other goods held for resale</t>
  </si>
  <si>
    <t>Issued (expensed):</t>
  </si>
  <si>
    <t>Write-down / (reversal of write-down) to Net Replacement Value (NRV) or Net Replacement Cost (NRC):</t>
  </si>
  <si>
    <t>Closing balance of inventories:</t>
  </si>
  <si>
    <t>Circumstances or events that led to the reversal of a write-down of inventories:</t>
  </si>
  <si>
    <t>OTHER NON-CURRENT FINANCIAL ASSETS</t>
  </si>
  <si>
    <t>Other non-current financial assets</t>
  </si>
  <si>
    <t>OTHER CURRENT FINANCIAL ASSETS</t>
  </si>
  <si>
    <t>Other current financial assets</t>
  </si>
  <si>
    <t>PREPAYMENTS</t>
  </si>
  <si>
    <t>Prepaid expenses</t>
  </si>
  <si>
    <t>Insurance for x months relating to following financial year, were paid in the current year.</t>
  </si>
  <si>
    <t>Call investments</t>
  </si>
  <si>
    <t>Fixed deposits amounting to Rxxx (20X0: Rxxx) have been ring-fenced for the purposes of repaying long-term liabilities as sent out in Note 36.</t>
  </si>
  <si>
    <t>Financial Instruments</t>
  </si>
  <si>
    <t>Fixed Deposits</t>
  </si>
  <si>
    <t>Listed Investments</t>
  </si>
  <si>
    <t>Other Investments</t>
  </si>
  <si>
    <t>Pledged Investments</t>
  </si>
  <si>
    <t>A fixed deposit amounting to Rxxx has been invested with xxx Bank as security for the lease of a sewerage purification plant.</t>
  </si>
  <si>
    <t>Impairment loss/Reversal of impairment loss</t>
  </si>
  <si>
    <t>Transfers</t>
  </si>
  <si>
    <t>Property, plant and equipment pledged as security</t>
  </si>
  <si>
    <t>Asset 1</t>
  </si>
  <si>
    <t>Terms and conditions</t>
  </si>
  <si>
    <t>Asset 2</t>
  </si>
  <si>
    <t>Capitalised expenditure</t>
  </si>
  <si>
    <t>Asset 3</t>
  </si>
  <si>
    <t>Compensation received for losses on property, plant and equipment – included in operating surplus</t>
  </si>
  <si>
    <t>Details of valuation</t>
  </si>
  <si>
    <t xml:space="preserve">The effective date of the revaluations was x. Revaluations were performed by an independent valuer, Mr Botha [specify qualifications], of Messrs Botha and Rudd. Botha and Rudd are not connected to the entity. </t>
  </si>
  <si>
    <t>Land and buildings are re-valued independently every x years.</t>
  </si>
  <si>
    <t>The valuation was performed using the discounted cash flow approach (other, describe, e.g. recent arms length transaction), and the following assumptions were used:</t>
  </si>
  <si>
    <t>These assumptions are based on current market conditions.</t>
  </si>
  <si>
    <t>The carrying value of the revalued assets under the cost model would have been:</t>
  </si>
  <si>
    <t>Other information</t>
  </si>
  <si>
    <t>Carrying value of idle property, plant and equipment</t>
  </si>
  <si>
    <t>Fully depreciated property, plant and equipment still in use</t>
  </si>
  <si>
    <t>Property, plant and equipment retired from active use, but not classified as held for sale</t>
  </si>
  <si>
    <t>Fair value of property, plant and equipment carried at cost</t>
  </si>
  <si>
    <t>Details of property</t>
  </si>
  <si>
    <t>Property X</t>
  </si>
  <si>
    <t>Purchase price: date</t>
  </si>
  <si>
    <t>Additions since purchase</t>
  </si>
  <si>
    <t>Property Y</t>
  </si>
  <si>
    <t>Reconciliation of carrying value</t>
  </si>
  <si>
    <t>Investment property pledged as security</t>
  </si>
  <si>
    <t>Fair value of investment property carried at cost:</t>
  </si>
  <si>
    <t>The effective date of the revaluations was x. Revaluations were performed by an independent valuer, Mr Botha [specify qualifications], of Messrs Botha and Rudd. Botha and Rudd are not connected to the entity and have recent experience in location and category of the investment property being valued.</t>
  </si>
  <si>
    <t>The valuation was based on open market value for existing use.</t>
  </si>
  <si>
    <t>Details of property:</t>
  </si>
  <si>
    <t>Rental income from investment property</t>
  </si>
  <si>
    <t>Direct operating expenses from rental generating property</t>
  </si>
  <si>
    <t>Direct operating expenses from non-rental generating property</t>
  </si>
  <si>
    <t>INVESTMENT PROPERTY CARRIED AT FAIR VALUE</t>
  </si>
  <si>
    <t>Reconciliation of fair value</t>
  </si>
  <si>
    <t>Fair value adjustment</t>
  </si>
  <si>
    <t>Fair value of disposals</t>
  </si>
  <si>
    <t>For investment property, totalling R - (2007: R -), where there was a lack of comparable market data, the valuation was based on discounted cash flows. The following assumptions were used:</t>
  </si>
  <si>
    <t>Amounts recognised in surplus or deficit for the year.</t>
  </si>
  <si>
    <t>Carrying Value of Property, Plant &amp; Equipment</t>
  </si>
  <si>
    <t>Other Costs in accordance with MFMA</t>
  </si>
  <si>
    <t xml:space="preserve">          Transfers Recognised - Capital</t>
  </si>
  <si>
    <t xml:space="preserve">          Contributions Recognised - Capital &amp; Contributed Assets</t>
  </si>
  <si>
    <t>Surplus/(Deficit) After Capital Transfers &amp; Contributions</t>
  </si>
  <si>
    <t xml:space="preserve">          Share Of Surplus/(Deficit) Of Associate</t>
  </si>
  <si>
    <t>Surplus/(Deficit For The Year</t>
  </si>
  <si>
    <t>Capital Expenditure &amp; Funds Sources</t>
  </si>
  <si>
    <t>Capital Expenditure</t>
  </si>
  <si>
    <t xml:space="preserve">          Public Contributions &amp; Donations</t>
  </si>
  <si>
    <t xml:space="preserve">          Borrowing</t>
  </si>
  <si>
    <t xml:space="preserve">          Internally Generated Funds</t>
  </si>
  <si>
    <t>Total Sources Of Capital Funds</t>
  </si>
  <si>
    <t>Cash flows</t>
  </si>
  <si>
    <t xml:space="preserve">          Net Cash From (Used) Operating</t>
  </si>
  <si>
    <t xml:space="preserve">          Net Cash From (Used) Investing</t>
  </si>
  <si>
    <t xml:space="preserve">          Net Cash From (Used) Financing</t>
  </si>
  <si>
    <t>Cash/Cash Equivalents At The Year End</t>
  </si>
  <si>
    <t>RECONCILIATION IN THE NOTES TO THE FINANCIAL STATEMENTS</t>
  </si>
  <si>
    <t>Reconciliation Of Budget Surplus/Deficit With The Surplus/Deficit In The Statement Of Financial Performance</t>
  </si>
  <si>
    <t>Net Surplus/Deficit Per The Statement Of Financial Performance</t>
  </si>
  <si>
    <t>Adjusted For:</t>
  </si>
  <si>
    <t>Fair Value Adjustments</t>
  </si>
  <si>
    <t>Impairments Recognised/Reversed</t>
  </si>
  <si>
    <t>Surplus/Deficit On The Sale Of Assets</t>
  </si>
  <si>
    <t>Increases/Decreases In Provisions</t>
  </si>
  <si>
    <t>List other relevant adjustments here</t>
  </si>
  <si>
    <t>Net Surplus/Deficit Per Approved Budget</t>
  </si>
  <si>
    <t>2011              Actual</t>
  </si>
  <si>
    <t>2011            Budget</t>
  </si>
  <si>
    <t>2011         Variance</t>
  </si>
  <si>
    <t>2011 Variance</t>
  </si>
  <si>
    <t>2011       Variance</t>
  </si>
  <si>
    <t>2011   Variance</t>
  </si>
  <si>
    <t>TOTAL EMPLOYEE COST</t>
  </si>
  <si>
    <t>ORIGINAL BUDGET 10/11</t>
  </si>
  <si>
    <t>ADJ BUDGET 10/11</t>
  </si>
  <si>
    <t>FINAL  10/11</t>
  </si>
  <si>
    <t>10d</t>
  </si>
  <si>
    <t>I am responsible for the preparation of these annual financial statements in terms of Section 126(1) of the Municipal Finance Management Act and which I have signed on behalf of the Municipality.</t>
  </si>
  <si>
    <t>COMSUMER DEBTORS</t>
  </si>
  <si>
    <t>*  Note 15 A</t>
  </si>
  <si>
    <t>*  Note 15 B</t>
  </si>
  <si>
    <t>15 A</t>
  </si>
  <si>
    <t>15 B</t>
  </si>
  <si>
    <t>*  Note 48</t>
  </si>
  <si>
    <t>ACTUAL OPERATING REVENUE VERSUS BUDGET</t>
  </si>
  <si>
    <t>ACTUAL OPERATING EXPENDITURE VERSUS BUDGET</t>
  </si>
  <si>
    <t>ACTUAL OPERATING REVENEU AND EXPENDITURE VERSUS BUDGET</t>
  </si>
  <si>
    <t>as at 1 July 20</t>
  </si>
  <si>
    <t>as at 30 June 20</t>
  </si>
  <si>
    <t>010/440/1312</t>
  </si>
  <si>
    <t>Paupers Burial</t>
  </si>
  <si>
    <t>Workman compensation</t>
  </si>
  <si>
    <t>022/300/1001</t>
  </si>
  <si>
    <t>022/300/1013</t>
  </si>
  <si>
    <t>031/300/1012</t>
  </si>
  <si>
    <t>050/440/1378</t>
  </si>
  <si>
    <t>grap implementation</t>
  </si>
  <si>
    <t>050/455/4132</t>
  </si>
  <si>
    <t>066/300/1012</t>
  </si>
  <si>
    <t>066/380/1310</t>
  </si>
  <si>
    <t>080/161/1302</t>
  </si>
  <si>
    <t>084/410/1251</t>
  </si>
  <si>
    <t>087/440/1380</t>
  </si>
  <si>
    <t>090/310/1021</t>
  </si>
  <si>
    <t>090/310/1022</t>
  </si>
  <si>
    <t>090/310/1023</t>
  </si>
  <si>
    <t>090/310/1024</t>
  </si>
  <si>
    <t>090/310/1029</t>
  </si>
  <si>
    <t>092/300/1001</t>
  </si>
  <si>
    <t>092/300/1004</t>
  </si>
  <si>
    <t>092/310/1021</t>
  </si>
  <si>
    <t>092/310/1022</t>
  </si>
  <si>
    <t>092/310/1023</t>
  </si>
  <si>
    <t>092/310/1024</t>
  </si>
  <si>
    <t>092/300/1012</t>
  </si>
  <si>
    <t>050/040/0222</t>
  </si>
  <si>
    <t>collection fees</t>
  </si>
  <si>
    <t>010/200/0291</t>
  </si>
  <si>
    <t>010/200/0294</t>
  </si>
  <si>
    <t>User Charges</t>
  </si>
  <si>
    <t>010/440/1315</t>
  </si>
  <si>
    <t>010/300/1001</t>
  </si>
  <si>
    <t>010/380/1110</t>
  </si>
  <si>
    <t>010/440/1338</t>
  </si>
  <si>
    <t>Interest late Payments</t>
  </si>
  <si>
    <t>022/440/1369</t>
  </si>
  <si>
    <t>032/300/1017</t>
  </si>
  <si>
    <t>050/160/0103</t>
  </si>
  <si>
    <t>050/160/12992</t>
  </si>
  <si>
    <t>052/160/0106</t>
  </si>
  <si>
    <t>051/440/1364</t>
  </si>
  <si>
    <t>065/170/0125</t>
  </si>
  <si>
    <t>Professional fees</t>
  </si>
  <si>
    <t>081/440/1393</t>
  </si>
  <si>
    <t>100/440/1406</t>
  </si>
  <si>
    <t>100/440/1408</t>
  </si>
  <si>
    <t>085/410/1251</t>
  </si>
  <si>
    <t>050/360/1334</t>
  </si>
  <si>
    <t>Retention sport centre Madimbo</t>
  </si>
  <si>
    <t>Retention Community Hall Malale</t>
  </si>
  <si>
    <t>Retention Sport centre nanc ext 6</t>
  </si>
  <si>
    <t>010/170/0255</t>
  </si>
  <si>
    <t>sundry</t>
  </si>
  <si>
    <t>010/170/0258</t>
  </si>
  <si>
    <t>tenders</t>
  </si>
  <si>
    <t>010/170/0259</t>
  </si>
  <si>
    <t>com old mutual</t>
  </si>
  <si>
    <t>025/440/1381</t>
  </si>
  <si>
    <t>031/170/0081</t>
  </si>
  <si>
    <t>050/350/1071</t>
  </si>
  <si>
    <t>080/161/1410</t>
  </si>
  <si>
    <t>mig grant</t>
  </si>
  <si>
    <t>081/161/1295</t>
  </si>
  <si>
    <t>unspend</t>
  </si>
  <si>
    <t>081/180/0120</t>
  </si>
  <si>
    <t>sale of stands</t>
  </si>
  <si>
    <t>084/035/0041</t>
  </si>
  <si>
    <t>084/035/0042</t>
  </si>
  <si>
    <t>084/035/0043</t>
  </si>
  <si>
    <t>084/035/0044</t>
  </si>
  <si>
    <t>084/035/0046</t>
  </si>
  <si>
    <t>084/035/0047</t>
  </si>
  <si>
    <t>084/035/0124</t>
  </si>
  <si>
    <t>income</t>
  </si>
  <si>
    <t>exp</t>
  </si>
  <si>
    <t>Pest controle</t>
  </si>
  <si>
    <t>Interest late payment</t>
  </si>
  <si>
    <t>Valuation roll</t>
  </si>
  <si>
    <t>led</t>
  </si>
  <si>
    <t>Interest Late Payment</t>
  </si>
  <si>
    <t>Valuation Roll</t>
  </si>
  <si>
    <t>2010-11 grants (MIG and INEP) transferred from acc. Surplus</t>
  </si>
  <si>
    <t>Retention Sport Centre Madimbo</t>
  </si>
  <si>
    <t>Retention Community Hall  Malale</t>
  </si>
  <si>
    <t>Retention Sport Centre Nanc Ext 6</t>
  </si>
  <si>
    <t>Unspent amount transferred to liabilities  (see note 9)</t>
  </si>
  <si>
    <t xml:space="preserve">Unspent amount transferred to liabilities </t>
  </si>
  <si>
    <t xml:space="preserve">Unspent amount transferred to liabilities  </t>
  </si>
  <si>
    <t>Donations / Others</t>
  </si>
  <si>
    <t>collection</t>
  </si>
  <si>
    <t>Donations / other</t>
  </si>
  <si>
    <t xml:space="preserve">Conditions still to be met - remain liabilities </t>
  </si>
  <si>
    <t>Renovation Lesley Manhathela</t>
  </si>
  <si>
    <t>Sport Centre Madimbo</t>
  </si>
  <si>
    <t>Sport Centre Nanc ext 6</t>
  </si>
  <si>
    <t>Community Hall Malale</t>
  </si>
  <si>
    <t>Electrical Infrastructure</t>
  </si>
  <si>
    <t>BUDGET</t>
  </si>
  <si>
    <t>ACTUAL</t>
  </si>
  <si>
    <t>CAPITAL 10/11</t>
  </si>
  <si>
    <t>Kwik Spar</t>
  </si>
  <si>
    <t xml:space="preserve">     Total July 2010 to June 2011</t>
  </si>
  <si>
    <t>Guest House</t>
  </si>
  <si>
    <t>Creche</t>
  </si>
  <si>
    <t>Lodges</t>
  </si>
  <si>
    <t>Recovery of unauthorised, irregular, fruitless and wasteful expenditure (Note 54)</t>
  </si>
  <si>
    <t xml:space="preserve">  30 days</t>
  </si>
  <si>
    <t xml:space="preserve">  Current </t>
  </si>
  <si>
    <t xml:space="preserve">  Current</t>
  </si>
  <si>
    <t xml:space="preserve">Ashifa Entertainment </t>
  </si>
  <si>
    <t>Ox Machine</t>
  </si>
  <si>
    <t>Technical</t>
  </si>
  <si>
    <t>M E S  ENGENEERING</t>
  </si>
  <si>
    <t>Community service</t>
  </si>
  <si>
    <t>Gift and jewellery centre</t>
  </si>
  <si>
    <t xml:space="preserve">Electrical winding </t>
  </si>
  <si>
    <t>Afroshine Holdings</t>
  </si>
  <si>
    <t>=</t>
  </si>
  <si>
    <t>JS Banda</t>
  </si>
  <si>
    <t>SFL Ndhlovu</t>
  </si>
  <si>
    <t>ME Ramoyada</t>
  </si>
  <si>
    <t>E Shirilele</t>
  </si>
  <si>
    <t>PS Tlou</t>
  </si>
  <si>
    <t>J Kaunda</t>
  </si>
  <si>
    <t>120+</t>
  </si>
  <si>
    <t>OFFICE TERM</t>
  </si>
  <si>
    <t>05/12/2000  -  18/05/2011</t>
  </si>
  <si>
    <t>01/06/2009  -  18/05/2011</t>
  </si>
  <si>
    <t>08/03/2006  -  18/05/2011</t>
  </si>
  <si>
    <t>08/01/2009  -  18/05/2011</t>
  </si>
  <si>
    <t>DATE APPOINTED</t>
  </si>
  <si>
    <t>CM Phiri</t>
  </si>
  <si>
    <t>19/05/2011</t>
  </si>
  <si>
    <t>J Banda</t>
  </si>
  <si>
    <t>MF Mafela</t>
  </si>
  <si>
    <t>SM Phiri</t>
  </si>
  <si>
    <t>SFL Ndlovu</t>
  </si>
  <si>
    <t>LB Ndou</t>
  </si>
  <si>
    <t>GN Milanzi</t>
  </si>
  <si>
    <t>SJ Kaunda</t>
  </si>
  <si>
    <t>Leave Payment</t>
  </si>
  <si>
    <t>Correction of provision</t>
  </si>
  <si>
    <t>yes</t>
  </si>
  <si>
    <t>Total amount of stock in stores as on 30 June 2011</t>
  </si>
  <si>
    <t>The cost of indigent subsidy for water and sewerage for the financial year ended 1 July 2010 - 30 June 2011</t>
  </si>
  <si>
    <t>Total provision for bad debt July 2004 - June 2011</t>
  </si>
  <si>
    <t>Increase/(decrease) in provisions</t>
  </si>
  <si>
    <t>Prior year prov loans</t>
  </si>
  <si>
    <t>Rental Mopane</t>
  </si>
  <si>
    <t>Pauoers Burial</t>
  </si>
  <si>
    <t>Consultance</t>
  </si>
  <si>
    <t>Machinery &amp; equipment</t>
  </si>
  <si>
    <t>Travel Allowance</t>
  </si>
  <si>
    <t>Basic salaries</t>
  </si>
  <si>
    <t>SUNDRY INCOME</t>
  </si>
  <si>
    <t>Advertsing</t>
  </si>
  <si>
    <t>Telephone landline</t>
  </si>
  <si>
    <t>Contract</t>
  </si>
  <si>
    <t>Council building</t>
  </si>
  <si>
    <t>grant</t>
  </si>
  <si>
    <t>indigent</t>
  </si>
  <si>
    <t>free elec</t>
  </si>
  <si>
    <t>Telephone mobile</t>
  </si>
  <si>
    <t>Protectvie clothing</t>
  </si>
  <si>
    <t>Printing stationary</t>
  </si>
  <si>
    <t>Telephone Mobile</t>
  </si>
  <si>
    <t>Subsistence &amp; travel</t>
  </si>
  <si>
    <t>consultance</t>
  </si>
  <si>
    <t>contract</t>
  </si>
  <si>
    <t>furniture &amp; office</t>
  </si>
  <si>
    <t>LOSS ON DESPOSAL</t>
  </si>
  <si>
    <t>Printing &amp; stationary</t>
  </si>
  <si>
    <t>Acting</t>
  </si>
  <si>
    <t>084/035/0048</t>
  </si>
  <si>
    <t>led fund</t>
  </si>
  <si>
    <t>Transaction Fee</t>
  </si>
  <si>
    <t>subsistence</t>
  </si>
  <si>
    <t>town planning</t>
  </si>
  <si>
    <t>telephone</t>
  </si>
  <si>
    <t>valuation roll</t>
  </si>
  <si>
    <t>postage</t>
  </si>
  <si>
    <t>conference</t>
  </si>
  <si>
    <t>advertising</t>
  </si>
  <si>
    <t>Transfer Water [Vhembe]</t>
  </si>
  <si>
    <t>Water Vhembe</t>
  </si>
  <si>
    <t>T Ramadzhamba &amp; 24 others</t>
  </si>
  <si>
    <t>BASIS OF ACCOUNTING</t>
  </si>
  <si>
    <t>The annual financial statements have been prepared on an accrual basis of accounting and are in accordance with historical cost convention unless specified otherwise.</t>
  </si>
  <si>
    <t xml:space="preserve">These annual financial statements have been prepared in accordance with Generally Recognised Accounting Practice (GRAP), issued by the Accounting Standards Board in accordance with Section 122(3) of the Municipal Finance Management Act, (Act No 56 of 2003). </t>
  </si>
  <si>
    <t>Assets, liabilities, revenues and expenses have not been offset except when offsetting is required or permitted by a Standard of GRAP.</t>
  </si>
  <si>
    <t>The accounting policies applied are consistent with those used to present the previous year's financial statements, unless explicitly stated.  The details of any changes in accounting policies are explained in the relevant policy.</t>
  </si>
  <si>
    <t>These annual financial statements are presented in South African Rand, which is the functional currency of the municipality.</t>
  </si>
  <si>
    <t>These annual financial statements have been prepared on the assumption that the municipality will continue to operate as a going concern for at least the next 12 months.</t>
  </si>
  <si>
    <t xml:space="preserve">Budget information in accordance with GRAP 1 and 24, has been provided in an annexure to these financial statements and forms part of the audited annual financial statements.  </t>
  </si>
  <si>
    <t>When the presentation or classification of items in the annual financial statements is amended, prior period comparative amounts are restated. The nature and reason for the reclassification is disclosed. Where accounting errors have been identified in the current year, the correction is made retrospectively as far as is practicable, and the prior year comparatives are restated accordingly. Where there has been a change in accounting policy in the current year, the adjustment is made retrospectively as far as is practicable, and the prior year comparatives are restated accordingly.</t>
  </si>
  <si>
    <t>STANDARDS, AMENDMENTS TO STANDARDS AND INTERPRETATIONS ISSUED BUT NOT YET EFFECTIVE</t>
  </si>
  <si>
    <t>The following GRAP standards have been issued but are not yet effective and have not been early adopted by the municipality:</t>
  </si>
  <si>
    <t>GRAP 18 Segment Reporting - issued March 2005</t>
  </si>
  <si>
    <t>GRAP 23 Revenue from Non-Exchange Transactions (Taxes and Transfers) - issued February 2008</t>
  </si>
  <si>
    <t>GRAP 24 Presentation of Budget Information in Financial Statements - issued November 2007</t>
  </si>
  <si>
    <t>GRAP 103 Heritage Assets - issued July 2008</t>
  </si>
  <si>
    <t>IAS 19 Employee Benefits - effective 1 January 2009</t>
  </si>
  <si>
    <t>IFRIC 17 Distribution of Non-cash Assets to Owners - effective 1 July 2009</t>
  </si>
  <si>
    <t>Nature of impending changes in accounting policy:</t>
  </si>
  <si>
    <t>Impact on the municipality's financial statements once implemented:</t>
  </si>
  <si>
    <t>PROPERTY, PLANT AND EQUIPMENT</t>
  </si>
  <si>
    <t>INITIAL RECOGNITION</t>
  </si>
  <si>
    <t>Property, plant and equipment are tangible non-current assets (including infrastructure assets) that are held for use in the production or supply of goods or services, rental to others, or for administrative purposes, and are expected to be used during more than one year. Items of property, plant and equipment are initially recognised as assets on acquisition date and are initially recorded at cost. The cost of an item of property, plant and equipment is the purchase price and other costs attributable to bring the asset to the location and condition necessary for it to be capable of operating in the manner intended by the municipality. Trade discounts and rebates are deducted in arriving at the cost. The cost also includes the necessary costs of dismantling and removing the asset and restoring the site on which it is located.</t>
  </si>
  <si>
    <t>When significant components of an item of property, plan and equipment have different useful lives, they are accounted for as separate items (major components) of property, plant and equipment.</t>
  </si>
  <si>
    <t xml:space="preserve">Where an asset is acquired by the municipality for no or nominal consideration (i.e. a non-exchange transaction), the cost is deemed to be equal to the fair value of that asset on the date acquired. </t>
  </si>
  <si>
    <t>Where an item of property, plant and equipment is acquired in exchange for a non-monetary asset or monetary assets, or a combination of monetary and non-monetary assets, the asset acquired is initially measured at fair value (the cost). If the acquired item's fair value was not determinable, it's deemed cost is the carrying amount of the asset(s) given up.</t>
  </si>
  <si>
    <t>Major spare parts and servicing equipment qualify as property, plant and equipment when the municipality expects to use them during more than one period.  Similarly, if the major spare parts and servicing equipment can be used only in connection with an item of property, plant and equipment, they are accounted for as property, plant and equipment.</t>
  </si>
  <si>
    <t>SUBSEQUENT MEASUREMENT - REVALUATION MODEL (LAND AND BUILDINGS)</t>
  </si>
  <si>
    <t>Subsequent to initial recognition, land and buildings are carried at a revalued amount, being its fair value at the date of revalutaion less any subsequent accumulated depreciation and impairment losses.</t>
  </si>
  <si>
    <t>An increase in the carrying amount of an asset as a result of a revalutation is credited directly to a revaluation surplus reserve, except to the extent that it reverses a revaluation decrease of the same asset previously recognised in surplus or deficit.</t>
  </si>
  <si>
    <t>A decrease in the carrying amount of an asset as a result of a revaluation is recognised in surplus or deficit, except to the extent of any credit balance existing in the revaluation surplus in respect of that asset.</t>
  </si>
  <si>
    <t>SUBEQUENT MEASUREMENT - COST MODEL</t>
  </si>
  <si>
    <t>Subsequent to initial recognition, items of property, plant and equipment are measured at cost less accumulated depreciation and impairment losses.  Land is not depreciated as it is deemed to have an indefinite useful life.</t>
  </si>
  <si>
    <t>Where the municipality replaces parts of an asset, it derecognises the part of the asset being replaced and capitalises the new component.  Subsequent expenditure incurred on an asset is capitalised when it increases the capacity or future economic benefits associated with the asset.</t>
  </si>
  <si>
    <t>DEPRECIATION AND IMPAIRMENT</t>
  </si>
  <si>
    <t>DERECOGNITION</t>
  </si>
  <si>
    <t xml:space="preserve">Items of Property, plant and equipment are derecognised when the asset is disposed of or when there are no further economic benefits or service potential expected from the use of the asset. The gain or loss arising on the disposal or retirement of an item of property, plant and equipment is determined as the difference between the sales proceeds and the carrying value and is recognised in the Statement of Financial Performance. </t>
  </si>
  <si>
    <t xml:space="preserve">An intangible asset is an identifiable non-monetary asset without physical substance. Examples include computer software, licences, and development costs. The municipality recognises an intangible asset in its Statement of Financial Position only when it is probable that the expected future economic benefits or service potential that are attributable to the asset will flow to the municipality and the cost or fair value of the asset can be measured reliably. </t>
  </si>
  <si>
    <t>Internally generated intangible assets are subject to strict recognition criteria before they are capitlised. Research expenditure is never capitalised, while development expenditure is only capitalised to the extent that:
• the municipality intends to complete the intangible asset for use or sale;
• it is technically feasible to complete the intangible asset;
• the municipality has the resources to complete the project; and
• it is probable that the municipality will receive future economic benefits or service potential.</t>
  </si>
  <si>
    <t>Intangible assets are initially recognised at cost.</t>
  </si>
  <si>
    <t xml:space="preserve">Where an intangible asset is acquired by the municipality for no or nominal consideration (i.e. a non-exchange transaction), the cost is deemed to be equal to the fair value of that asset on the date acquired. </t>
  </si>
  <si>
    <t>Where an intangible asset is acquired in exchange for a non-monetary asset or monetary assets, or a combination of monetary and non-monetary assets, the asset acquired is initially measured at fair value (the cost). If the acquired item's fair value was not determinable, it's deemed cost is the carrying amount of the asset(s) given up.</t>
  </si>
  <si>
    <t>Intangible assets are subsequently carried at cost less accumulated amoritisation and impairments. The cost of an intangible asset is amortised over the useful life where that useful life is finite. Where the useful life is indefinite, the asset is not amortised but is subject to an annual impairment test.</t>
  </si>
  <si>
    <t>AMORTISATION AND IMPAIRMENT</t>
  </si>
  <si>
    <t>Amortisation is charged so as to write off the cost or valuation of intangible assets over their estimated useful lives using the straight line method.  The annual amortisation rates are based on the following estimated average asset lives:</t>
  </si>
  <si>
    <t>The amortisation period and the amortisation method for an intangible asset with a finite useful life are reviewed at each reporting date and any changes are recognised as a change in acounting estimate in the Statement of Financial Performance.</t>
  </si>
  <si>
    <t xml:space="preserve">The municipality tests intangible assets with finite useful lives for impairment where there is an indication that an asset may be impaired. An assessment of whether there is an indication of possible impairment is done at each reporting date. Where the carrying amount of an item of an intangible asset is greater than the estimated recoverable amount (or recoverable service amount), it is written down immediately to its recoverable amount (or recoverable service amount) and an impairment loss is charged to the Statement of Financial Performance. </t>
  </si>
  <si>
    <t>Intangible assets are derecognised when the asset is disposed of or when there are no further economic benefits or service potential expected from the use of the asset. The gain or loss arising on the disposal or retirement of an intangible asset is determined as the difference between the sales proceeds and the carrying value and is recognised in the Statement of Financial Performance.</t>
  </si>
  <si>
    <t>Investment property includes property (land or a building, or part of a building, or both land or buildings held under a finance lease) held to earn rentals and/or for capital appreciation, rather than held to meet service delivery objectives, the production or supply of goods or services, or the sale of an asset in the ordinary course of operations.</t>
  </si>
  <si>
    <t>At initial recognition, the municipality measures investment property at cost including transaction costs once it meets the definition of investment property. However, where an investment property was acquired through a non-exchange transaction (i.e. where it acquired the investment property for no or a nominal value), its cost is its fair value as at the date of acquisition.</t>
  </si>
  <si>
    <t>The cost of self-constructed investment property is the cost at date of completion.</t>
  </si>
  <si>
    <t>SUBSEQUENT MEASUREMENT - FAIR VALUE MODEL</t>
  </si>
  <si>
    <t>Investment property is measured using the fair value model.  Under the fair value model, investment property is carried at its fair value at the reporting date.  Any gain or loss arising from a change in the fair value of the property is included in surplus or deficit for the period in which it arises.</t>
  </si>
  <si>
    <t>SUBSEQUENT MEASUREMENT</t>
  </si>
  <si>
    <t>The fair value of livestock is determined based on market prices of livestock of similar age, breed, and genetic merit.</t>
  </si>
  <si>
    <t>The fair value of milk is determined based on market prices in the local area.</t>
  </si>
  <si>
    <t>The fair value of the vine / pine plantations is based on the combined fair value of the land and the vines / pine trees. The fair value of the raw land and land improvements is then deducted from the combined fair value to determine the fair value of the vines / pine trees.</t>
  </si>
  <si>
    <t>A gain or loss arising on initial recognition of agricultural produce at fair value less estimated point-of-sale costs is included in profit or loss for the period in which it arises.</t>
  </si>
  <si>
    <t>Where market determined prices or values are not available, the present value of the expected net cash inflows from the asset, discounted at a current market-determined pre-tax rate is used to determine fair value.</t>
  </si>
  <si>
    <t>An unconditional government grant related to a biological asset measured at its fair value less estimated point-of-sale costs is recognised as income when the government grant becomes receivable.</t>
  </si>
  <si>
    <t>Where fair value cannot be measured reliably, biological assets are measured at cost less any accumulated depreciation and any accumulated impairment losses.</t>
  </si>
  <si>
    <t>Depreciation is provided on biological assets where fair value cannot be determined, to write down the cost, less residual value.  The annual depreciation rates are based on the following estimated average asset lives:</t>
  </si>
  <si>
    <t>Biological assets</t>
  </si>
  <si>
    <t>Trees in plantation</t>
  </si>
  <si>
    <t>Maize</t>
  </si>
  <si>
    <t>Wheat</t>
  </si>
  <si>
    <t>Sheep</t>
  </si>
  <si>
    <t>Pigs</t>
  </si>
  <si>
    <t>Dairy Cattle</t>
  </si>
  <si>
    <t>INVENTORIES</t>
  </si>
  <si>
    <t>Inventories comprise current assets held for sale, consumption or distribution during the ordinary course of business.   Inventories are initially recognised at cost. Cost generally refers to the purchase price, plus taxes, transport costs and any other costs in bringing the inventories to their current location and condition. Where inventory is manufactured, constructed or produced, the cost includes the cost of labour, materials and overheads used during the manufacturing process.</t>
  </si>
  <si>
    <t xml:space="preserve">Where inventory is acquired by the municipality for no or nominal consideration (i.e. a non-exchange transaction), the cost is deemed to be equal to the fair value of the item on the date acquired. </t>
  </si>
  <si>
    <t xml:space="preserve">Inventories, consisting of consumable stores, raw materials, work-in-progress and finished goods, are valued at the lower of cost and net realisable value unless they are to be distributed at no or nominal charge, in which case they are measured at the lower of cost and current replacement cost.  Redundant and slow-moving inventories are identified and written down in this way. Differences arising on the valuation of inventory are recognised in the Statement of Financial Performance in the year in which they arose. The amount of any reversal of any write-down of inventories arising from an increase in net realisable value or current replacement cost is recognised as a reduction in the amount of inventories recognised as an expense in the period in which the reversal occurs. </t>
  </si>
  <si>
    <t xml:space="preserve">The carrying amount of inventories is recognised as an expense in the period that the inventory was sold, distributed, written off or consumed, unless that cost qualifies for capitalisation to the cost of another asset. </t>
  </si>
  <si>
    <t>Financial instruments are intitally recognised at fair value.</t>
  </si>
  <si>
    <t xml:space="preserve">Financial Assets are categorised according to their nature as either financial assets at fair value through profit or loss, held-to maturity, loans and receivables, or available for sale. Financial liabilities are categorised as either at fair value through profit or loss or financial liabilities carried at amortised cost ("other"). The subsequent measurement of financial assets and liabilities depends on this categorisation and, in the absence of an approved GRAP Standard on Financial Instruments, is in accordance with IAS 39.  </t>
  </si>
  <si>
    <t>Investments, which include listed government bonds, unlisted municipal bonds, fixed deposits and short-term deposits invested in registered commercial banks, are categorised as either held-to-maturity where the criteria for that categorisation are met, or as loans and receivables, and are measured at amortised cost. Where investments have been impaired, the carrying value is adjusted by the impairment loss, which is recognised as an expense in the period that the impairment is identified. Impairments are calculated as being the difference between the carrying amount and the present value of the expected future cash flows flowing from the instrument. On disposal of an investment, the difference between the net disposal proceeds and the carrying amount is charged or credited to the Statement of Financial Performance.</t>
  </si>
  <si>
    <t>Trade and other receivables are categorised as financial assets: loans and receivables and are initially recognised at fair value and subsequently carried at amortised cost. Amortised cost refers to the initial carrying amount, plus interest, less repayments and impairments. An estimate is made for doubtful receivables based on a review of all outstanding amounts at year-end. Significant financial difficulties of the debtor, probability that the debtor will enter bankruptcy or financial reorganisation, and default or delinquency in payments (more than 30 days overdue) are considered indicators that the trade receivable is impaired. Impairments are determined by discounting expected future cash flows to their present value. Amounts that are receivable within 12 months from the reporting date are classified as current.</t>
  </si>
  <si>
    <t>An impairment of trade receivables is accounted for by reducing the carrying amount of trade receivables through the use of an allowance account, and the amount of the loss is recognised in the Statement of Financial Performance within operating expenses. When a trade receivable is uncollectible, it is written off. Subsequent recoveries of amounts previously written off are credited against operating expenses in the Statement of Financial Performance.</t>
  </si>
  <si>
    <t>TRADE PAYABLES AND BORROWINGS</t>
  </si>
  <si>
    <t xml:space="preserve">Financial liabilities consist of trade payables and borrowings. They are categorised as financial liaibilities held at amortised cost, are intitially recognised at fair value and subsequently measured at amortised cost which is the initial carrying amount, less repayments, plus interest.  </t>
  </si>
  <si>
    <t xml:space="preserve">Cash includes cash on hand (including petty cash) and cash with banks (including call deposits). Cash equivalents are short-term highly liquid investments, readily convertible into known amounts of cash, that are held with registered banking institutions with maturities of three months or less and are subject to an insignificant risk of change in value. For the purposes of the cash flow statement, cash and cash equivalents comprise cash on hand, deposits held on call with banks, net of bank overdrafts. The municipality categorises cash and cash equivalents as financial assets: loans and receivables. </t>
  </si>
  <si>
    <t>Bank overdrafts are recorded based on the facility utilised. Finance charges on bank overdraft are expensed as incurred. Amounts owing in respect of bank overdrafts are categorised as financial liabilities: other financial liabilties carried at amortised cost.</t>
  </si>
  <si>
    <t>Unauthorised expenditure is expenditure that has not been budgeted, expenditure that is not in terms of the conditions of an allocation received from another sphere of government, municipality or organ of state and expenditure in the form of a grant that is not permitted in terms of the Municipal Finance Management Act (Act No.56 of 2003). Unauthorised expenditure is accounted for as an expense in the Statement of Financial Performance and where recovered, it is subsequently accounted for as revenue in the Statement of Financial Performance.</t>
  </si>
  <si>
    <t>Irregular expenditure is expenditure that is contrary to the Municipal Finance Management Act (Act No.56 of 2003), the Municipal Systems Act (Act No.32 of 2000), the Public Office Bearers Act (Act No. 20 of 1998) or is in contravention of the Municipality’s supply chain management policy. Irregular expenditure excludes unauthorised expenditure. Irregular expenditure is accounted for as expenditure in the Statement of Financial Performance and where recovered, it is subsequently accounted for as revenue in the Statement of Financial Performance.</t>
  </si>
  <si>
    <t>Fruitless and wasteful expenditure is expenditure that was made in vain and would have been avoided had reasonable care been exercised. Fruitless and wasteful expenditure is accounted for as expenditure in the Statement of Financial Performance and where recovered, it is subsequently accounted for as revenue in the Statement of Financial Performance.</t>
  </si>
  <si>
    <t xml:space="preserve">Provisions are recognised when the municipality has a present or constructive obligation as a result of past events, it is probable that an outflow of resources embodying economic benefits will be required to settle the obligation and a reliable estimate of the provision can be made. Provisions are reviewed at reporting date and adjusted to reflect the current best estimate. Where the effect is material, non-current provisions are discounted to their present value using a pre-tax discount rate that reflects the market's current assessment of the time value of money, adjusted for risks specific to the liability (for example in the case of obligations for the rehabilitation of land). </t>
  </si>
  <si>
    <t>The municipality does not recognise a contingent liability or contingent asset. A contingent liability is disclosed unless the possibility of an outflow of resources embodying economic benefits is remote. A contingent asset is disclosed where an inflow of economic benefits is probable.</t>
  </si>
  <si>
    <t>Future events that may affect the amount required to settle an obligation are reflected in the amount of a provision where there is sufficient objective evidence that they will occur. Gains from the expected disposal of assets are not taken into account in measuring a provision. Provisions are not recognised for future operating losses. The present obligation under an onerous contract is recognised and measured as a provision.</t>
  </si>
  <si>
    <t xml:space="preserve">A provision for restructuring costs is recognised only when the following criteria over and above the recognition criteria of a provision have been met:                                                                                        (a) The municipality has a detailed formal plan for the restructuring identifying at least:                                   - the business or part of a business concerned;                                                                                          - the principal locations affected;                                                                                                                - the location, function, and approximate number of employees who will be compensated for terminating their services;                                                                                                                                                  - the expenditures that will be undertaken; and                                                                                            - when the plan will be implemented; and                                                                                                                                                                               </t>
  </si>
  <si>
    <t>(b) The municipality has raised a valid expectation in those affected that it will carry out the restructuring by starting to implement that plan or announcing its main features to those affected by it.</t>
  </si>
  <si>
    <t>LEASES</t>
  </si>
  <si>
    <t>MUNICIPALITY AS LESSEE</t>
  </si>
  <si>
    <t xml:space="preserve">Leases are classified as finance leases where substantially all the risks and rewards associated with ownership of an asset are transferred to the municipality. Property, plant and equipment or intangible assets subject to finance lease agreements are initially recognised at the lower of the asset's fair value and the present value of the minimum lease payments. The corresponding liabilities are initially recognised at the inception of the lease and are measured as the sum of the minimum lease payments due in terms of the lease agreement, discounted for the effect of interest. In discounting the lease payments, the municipality uses the interest rate that exactly discounts the lease payments and unguaranteed residual value to the fair value of the asset plus any direct costs incurred. </t>
  </si>
  <si>
    <t>Subsequent to initial recognition, the leased assets are accounted for in accordance with the stated accounting policies applicable to property, plant, equipment or intangibles. The lease liability is reduced by the lease payments, which are allocated between the lease finance cost and the capital repayment using the effective interest rate method. Lease finance costs are expensed when incurred. The accounting policies relating to derecognition of financial instruments are applied to lease payables. The lease asset is depreciated over the shorter of the asset's useful life or the lease term.</t>
  </si>
  <si>
    <t>Operating leases are those leases that do not fall within the scope of the above definition. Operating lease rentals are accrued on a straight-line basis over the term of the relevant lease.</t>
  </si>
  <si>
    <t>REVENUE FROM EXCHANGE TRANSACTIONS</t>
  </si>
  <si>
    <t xml:space="preserve">Revenue from exchange transactions refers to revenue that accrued to the municipality directly in return for services rendered / goods sold, the value of which approximates the consideration received or receivable. </t>
  </si>
  <si>
    <t>Revenue from the sale of electricity prepaid meter cards is recognised at the point of sale.</t>
  </si>
  <si>
    <t>Interest revenue is recognised on a time proportion basis.</t>
  </si>
  <si>
    <t>Revenue from the rental of facilities and equipment is recognised on a straight-line basis over the term of the lease agreement.</t>
  </si>
  <si>
    <t>Dividends are recognised on the date that the Municipality becomes entitled to receive the dividend.</t>
  </si>
  <si>
    <t>Revenue arising from the application of the approved tariff of charges is recognised when the relevant service is rendered by applying the relevant gazetted tariff. This includes the issuing of licences and permits.</t>
  </si>
  <si>
    <t>Revenue from the sale of goods is recognised when substantially all the risks and rewards in those goods is passed to the consumer.</t>
  </si>
  <si>
    <t xml:space="preserve">Revenue arising out of situations where the municipality acts as an agent on behalf of another entity (the principal) is limited to the amount of any fee or commission payable to the municipality as compensation for executing the agreed services. </t>
  </si>
  <si>
    <t>REVENUE FROM NON-EXCHANGE TRANSACTIONS</t>
  </si>
  <si>
    <t xml:space="preserve">Revenue from non-exchange transactions refers to transactions where the municipality received revenue from another entity without directly giving approximately equal value in exchange. Revenue from non-exchange transactions is generally recognised to the extent that the the related receipt or receivable qualifies for recognition as an asset and there is no liability to repay the amount. </t>
  </si>
  <si>
    <t>Revenue from property rates is recognised when the legal entitlement to this revenue arises. Collection charges are recognised when such amounts are legally enforceable. Penalty interest on unpaid rates is recognised on a time proportionate basis.</t>
  </si>
  <si>
    <t>Fines constitute both spot fines and summonses. Revenue from spot fines and summonses is recognised when payment is received, together with an estimate of spot fines and summonses that will be received based on past experience of amounts collected.</t>
  </si>
  <si>
    <t>Revenue from public contributions and donations is recognised when all conditions associated with the contribution have been met or where the contribution is to finance property, plant and equipment, when such items of property, plant and equipment qualifies for recognition and first becomes available for use by the municipality. Where public contributions have been received but the municipality has not met the related conditions, a deferred income (liability) is recognised.</t>
  </si>
  <si>
    <t>Contributed property, plant and equipment is recognised when such items of property, plant and equipment qualifies for recognition and become available for use by the municipality.</t>
  </si>
  <si>
    <t>GRANTS, TRANSFERS AND DONATIONS</t>
  </si>
  <si>
    <t>Grants, transfers and donations received or receivable are recognised when the resources that have been transferred meet the criteria for recognition as an asset. A corresponding liability is raised to the extent that the grant, transfer or donation is conditional. The liability is transferred to revenue as and when the conditions attached to the grant are met. Grants without any conditions attached are recognised as revenue when the asset is recognised.</t>
  </si>
  <si>
    <t>Borrowing costs that are directly attributable to the acquisition, construction or production of qualifying assets are capitalised to the cost of that asset unless it is inappropriate to do so. The municipality ceases the capitalisation of borrowing costs when substantially all the activities to prepare the asset for its intended use or sale are complete. It is considered inappropriate to capitalise borrowing costs where the link between the funds borrowed and the capital asset acquired cannot be adequately established. Borrowing costs incurred other than on qualifying assets are recognised as an expense in surplus or deficit when incurred.</t>
  </si>
  <si>
    <t>IMPAIRMENT OF ASSETS</t>
  </si>
  <si>
    <t>The municipality assesses at each reporting date whether there is any indication that an asset may be impaired.  If any such indication exists, the municpality estimates the recoverable service amount of the asset.</t>
  </si>
  <si>
    <t>Irrespective of whether there is any indication of impairment, the municipality also:</t>
  </si>
  <si>
    <t>- tests intangible assets with an indefinite useful life or intangible assets not yet available for use for impairment annually by comparing its carrying amount with its recoverable amount. This impairment test is performed during the annual period and at the same time every period.</t>
  </si>
  <si>
    <t>If there is any indication that an asset may be impaired, the recoverable service amount is estimated for the individual asset. If it is not possible to estimate the recoverable service amount of the individual asset, the recoverable service amount of the cash-generating unit to which the asset belongs is determined.</t>
  </si>
  <si>
    <t>The recoverable service amount of an asset or a cash-generating unit is the higher of its fair value less costs to sell and its value in use.</t>
  </si>
  <si>
    <t>If the recoverable service amount of an asset is less than its carrying amount, the carrying amount of the asset is reduced to its recoverable service amount. That reduction is an impairment loss.</t>
  </si>
  <si>
    <t>An impairment loss of assets carried at cost less any accumulated depreciation or amortisation is recognised immediately in surplus or deficit.  Any impairment loss of a revalued asset is treated as a revaluation decrease.</t>
  </si>
  <si>
    <t>An impairment loss is recognised for cash-generating units if the recoverable service amount of the unit is less than the carrying amount of the unit. The impairment loss is allocated to reduce the carrying amount of the assets of the unit as follows:</t>
  </si>
  <si>
    <t>- to the assets of the unit, pro rata on the basis of the carrying amount of each asset in the unit.</t>
  </si>
  <si>
    <t>A municipality assesses at each reporting date whether there is any indication that an impairment loss recognised in prior periods for assets may no longer exist or may have decreased. If any such indication exists, the recoverable service amounts of those assets are estimated.</t>
  </si>
  <si>
    <t>The increased carrying amount of an asset attributable to a reversal of an impairment loss does not exceed the carrying amount that would have been determined had no impairment loss been recognised for the asset in prior periods.</t>
  </si>
  <si>
    <t>A reversal of an impairment loss of assets carried at cost less accumulated depreciation or amortisation is recognised immediately in surplus or deficit. Any reversal of an impairment loss of a revalued asset is treated as a revaluation increase.</t>
  </si>
  <si>
    <t xml:space="preserve">In general, the basis of allocating cost to inventory items is the first-in, first-out method </t>
  </si>
  <si>
    <t xml:space="preserve">ACTING MUNICIPAL MANAGER                                                    </t>
  </si>
  <si>
    <t>ACTING CFO</t>
  </si>
  <si>
    <t>SJ PRETORIUS</t>
  </si>
  <si>
    <t>P NNDWA</t>
  </si>
  <si>
    <t>ACTING MUNICIPAL  MANAGER</t>
  </si>
  <si>
    <t>ACTING CHIEF FINANCIAL OFFICER</t>
  </si>
  <si>
    <t>DIPL LOCAL GOVERNMENT FINANCE</t>
  </si>
  <si>
    <t>E-MAIL: DCFO@MUSIN.GOV.ZA</t>
  </si>
  <si>
    <t>PROVINCIAL TREASURY</t>
  </si>
  <si>
    <t>NATIONAL TREASURY</t>
  </si>
  <si>
    <t>NAME</t>
  </si>
  <si>
    <t>EMAIL</t>
  </si>
  <si>
    <t>???</t>
  </si>
  <si>
    <t xml:space="preserve">Infrastructure Assets                                                                                                       </t>
  </si>
  <si>
    <t>Years</t>
  </si>
  <si>
    <t>Roads, pavements, bridges and storm water</t>
  </si>
  <si>
    <t>10</t>
  </si>
  <si>
    <t xml:space="preserve">Street names, signs and parking meters                                                                        </t>
  </si>
  <si>
    <t xml:space="preserve">Car parks, bus terminals and taxi ranks                                                                        </t>
  </si>
  <si>
    <t xml:space="preserve">Electricity reticulation                                                                                                     </t>
  </si>
  <si>
    <t>25</t>
  </si>
  <si>
    <t xml:space="preserve">Electricity meters                                                                                                             </t>
  </si>
  <si>
    <t xml:space="preserve">Housing                                                                                                                              </t>
  </si>
  <si>
    <t xml:space="preserve">Street lighting                                                                                                                   </t>
  </si>
  <si>
    <t xml:space="preserve">Refuse sites                                                                                                                 </t>
  </si>
  <si>
    <t xml:space="preserve">Community Assets                                                                                                        </t>
  </si>
  <si>
    <t xml:space="preserve">Parks and gardens                                                                                                      </t>
  </si>
  <si>
    <t>30</t>
  </si>
  <si>
    <t xml:space="preserve">Sport fields                                                                                                                  </t>
  </si>
  <si>
    <t xml:space="preserve">Community halls                                                                                                            </t>
  </si>
  <si>
    <t xml:space="preserve">Libraries                                                                                                                        </t>
  </si>
  <si>
    <t xml:space="preserve">Recreation facilities                                                                                                      </t>
  </si>
  <si>
    <t xml:space="preserve">Clinics                                                                                                                          </t>
  </si>
  <si>
    <t xml:space="preserve">Fire services                                                                                                                 </t>
  </si>
  <si>
    <t xml:space="preserve">Cemeteries                                                                                                                   </t>
  </si>
  <si>
    <t xml:space="preserve">Other Assets                                                                                                               </t>
  </si>
  <si>
    <t xml:space="preserve">Motor vehicles                                                                                                              </t>
  </si>
  <si>
    <t>5</t>
  </si>
  <si>
    <t xml:space="preserve">Plant and equipment                                                                                                     </t>
  </si>
  <si>
    <t xml:space="preserve">Security measures                                                                                                     </t>
  </si>
  <si>
    <t>3</t>
  </si>
  <si>
    <t xml:space="preserve">Buildings                                                                                                                      </t>
  </si>
  <si>
    <t xml:space="preserve">IT equipment                                                                                                                </t>
  </si>
  <si>
    <t xml:space="preserve">Office equipment                                                                                                          </t>
  </si>
  <si>
    <t>Land is not depreciated as it is regarded as having an infinite life.</t>
  </si>
  <si>
    <t xml:space="preserve">The useful life of an item of property plant and equipment is reviewed periodically and, if expectations are significantly different from previous estimates, the depreciation charge from the current and future periods gets adjusted. </t>
  </si>
  <si>
    <t>Impairment</t>
  </si>
  <si>
    <t>Where items of property, plant and equipment have been impaired, the carrying value is adjusted by the impairment loss, which is recognised as an expense in the period that the impairment is identified, except where the impairment reverses a previous revaluation.</t>
  </si>
  <si>
    <t>Where the carrying amount of an item of property, plant and equipment is larger than the estimated recoverable amount, it is written down immediately to its recoverable amount and an impairment loss is charged to the Statement of Financial Performance.</t>
  </si>
  <si>
    <t>Where items of property, plant and equipment have been impaired, the carrying value is adjusted by the impairment loss, which is recognised as an expense in the period that the impairment is identified.</t>
  </si>
  <si>
    <t>The testing for and impairing of any items of property, plant and equipment were not accounted for as permitted in terms of Directive 4</t>
  </si>
  <si>
    <t>·         The book values of assets are written off on disposal.</t>
  </si>
  <si>
    <t>·         The difference between the net book value of assets (cost less accumulated depreciation) and the sales proceeds is reflected as a gain or loss in the Statement of Financial Performance.</t>
  </si>
  <si>
    <t>REVALUATION OF LAND</t>
  </si>
  <si>
    <t>Investment property is valued once every three years using the net rental value method.  The valuations are prepared  considering the aggregate of the net annual rent receivable from the properties and where relevant, associated costs.  A yield which reflects the specific risks inherent in the net cash flow is then applied to the net annual rentals to arrive at the property valuation.</t>
  </si>
  <si>
    <t>The revaluation is carried out by an independant valuer.</t>
  </si>
  <si>
    <t>After initial recognition, an intangible asset is carried at its cost less any accumulated impairment losses and amortisation.  Amortisation is charged on a straight-line basis over their useful life which is estimated to be between 3 and 5 years.  The useful life of an intangible asset is the period over which that asset is expected to be available for use of by the municipality.  Where intangible assets are deemed to have an indefinite useful life, such intangible assets are not amortised, but are tested for impairment annually and impaired if necessary.</t>
  </si>
  <si>
    <t>Where items of intangible assets have been impaired, the carrying value is adjusted by the impairment loss, which is recognised as an expense in the period that the impairment is identified except where the impairment reverses a previous revaluation.</t>
  </si>
  <si>
    <t>The estimated useful life and amortisation methods are reviewed annually at the end of the financial year.  Any adjustments arising from the annual review are applied prospectively.</t>
  </si>
  <si>
    <t>Intangible assets are recognised at cost.  Cost is defined as the amount of cash or cash equivalents paid or the fair value of the other considerations given to acquire the asset at the time of its acquisition or construction.  Only cost incurred on computer software and websites that meet the definition of an intangible asset are recognised as permitted in terms of Derective 4.  All other cost incurred on intangible assets during the exemption period has been expensed.</t>
  </si>
  <si>
    <r>
      <t>Service charges relating to electricity  are based on consumption. Meters are read on a monthly basis and are recognised as revenue when invoiced. Provisional estimates of consumption are made monthly when meter readings have not been performed. The provisional estimates of consumption are recognised as revenue when invoiced. Adjustments to provisional estimates of consumption are made in the invoicing period in which meters have been read. These adjustments are recognised as revenue in the invoicing period</t>
    </r>
    <r>
      <rPr>
        <sz val="10"/>
        <color theme="1"/>
        <rFont val="Arial"/>
        <family val="2"/>
      </rPr>
      <t>. The estimates of consumption between meter readings are based on 3 month average usage</t>
    </r>
  </si>
  <si>
    <t xml:space="preserve">Service charges relating to refuse removal are recognised on a monthly basis in advance by applying the approved tariff to each property that has improvements. Tariffs are determined per category of property usage, and are levied monthly based on the recorded number of refuse containers per property. </t>
  </si>
  <si>
    <t>Revenue from rates including collection charges and penalty interest, shall be recognised when all the following conditions have been satisfied:</t>
  </si>
  <si>
    <t>· The amount of revenue can be measured reliably;</t>
  </si>
  <si>
    <t xml:space="preserve">· It is probable that the economic benefits or service potential associated with the transaction will flow    to the municipality;  and </t>
  </si>
  <si>
    <t>· There has been compliance with the relevant legal requirements.</t>
  </si>
  <si>
    <t>Service charges from sewerage are based on the number of sewerage connections on each developed property and service charges relating to water are based on consumption, both using the tariffs approved from Vhembe District Municiaplity and are levied monthly.</t>
  </si>
  <si>
    <t xml:space="preserve">Government Grants can be in the form of grants to acquire or construct fixed assets (capital grants), grants for the furtherance of national and provincial government policy objectives and general grants to subsidise the cost incurred by municipalities rendering services.  </t>
  </si>
  <si>
    <t>Capital grants and general grants for the furtherance of government policy objectives are usually restricted revenue in that stipulations are imposed in their use.</t>
  </si>
  <si>
    <t>Government grants are recognised as revenue when:</t>
  </si>
  <si>
    <t>· It is probable that the economic benefits or service potential associated with the transaction will flow to the municipality;</t>
  </si>
  <si>
    <t>· The amount of the revenue can be measured reliably;   and</t>
  </si>
  <si>
    <t>· To the extent that there has been compliance with any restrictions associated with the grant.</t>
  </si>
  <si>
    <t>Other grants and donations received</t>
  </si>
  <si>
    <t>Other grants and donations shall be recognised as revenue when:</t>
  </si>
  <si>
    <t xml:space="preserve">· It is probable that the economic benefits or service potential associated with the transaction will flow    to the municipality;  </t>
  </si>
  <si>
    <t>· The amount of the revenue can be measured reliably; and</t>
  </si>
  <si>
    <t>Donations are recognised on a cash receipt basis or where the donation is in the form of property, plant and equipment are brought into use.</t>
  </si>
  <si>
    <t>Revenue from public contributions is recognised when all conditions have been met or where the contribution to property, plant and equipment is recognised when such items of property, plant and equipment are brought into use.</t>
  </si>
  <si>
    <t>Where public contributions have been received but the conditions were not met, a liability is recognised.</t>
  </si>
  <si>
    <t>The municipality provides retirement benefits for its employees and councillors. The contributions to fund obligations for the payment of retirement benefits are charged against revenue in the year they become payable. The defined benefit funds, which are administered on a provincial basis, are actuarially valued triennially on the projected unit credit method basis. Deficits identified are recognised as a liability and are recovered through lump sum payments or increased future contributions on a proportional basis to all participating municipalities. Specific actuarial information in respect of individual participating municipalities is unavailable due to centralised administration of these funds. As a result, defined benefit plans have been accounted for as if they were defined contribution plans.</t>
  </si>
  <si>
    <t>The municipality funded the entity with a grant</t>
  </si>
  <si>
    <t>The entity was transeferred to the municipality as a LED project on 30 June 2011</t>
  </si>
  <si>
    <t>PRESENTATION CURRENCY</t>
  </si>
  <si>
    <t>Monthly instalments of R111,846 each are payable on the last day of each month. Interest is payable at 15% per annum. The final instalment is payable on 08/03/2011. The agreement does not provide for contingent rental payments.</t>
  </si>
  <si>
    <t>The Municipality itemized all infrastructure and community assets and recalculate accumulated depreciation. At present depreciation on these assets is calculated on an averaging basis whereby an average useful life has been estimated for each category of infrastructure and community assets, using global historical costs recorded in the accounting records. An assessment of impairments was done by 30 June 2011.</t>
  </si>
  <si>
    <t>NONE</t>
  </si>
  <si>
    <t>The effective date of the revaluations was 01 July 2007 with annual interim valuations. Revaluations were performed by an independent valuer, Mr Thinus Nel from DDP Valuers. Mr Nel is not connected to the entity and have recent experience in location and category of the investment property being valued.</t>
  </si>
  <si>
    <t>Valuations on land and buildings are performed every four years.  The last valuation came into effect on 1 July 2007.  Interim valuations are processed on a quarterly basis to take into account changes in individual property values due to alterations and subdivisions.  A general rate of R0.009119 is applied to property valuations to determine assessment rates. Rates are levied on an annual basis on state and De Beers property owners, or rates are levied monthly.  Interest at prime + 1% per annum are levied on outstanding rates.</t>
  </si>
  <si>
    <t>Permission was granted to the municipality to extend the valuation roll with one year until 30 June 2012</t>
  </si>
  <si>
    <t>In terms of the Constitution, this grant is used to subsidise the provision of basic services to indigent community members.  All registered indigents receive a monthly subsidy of R24,045,000, which is funded from the grant.</t>
  </si>
  <si>
    <t>During the year no performance bonuses were paid out in terms of Section 57 of the Municipal Systems Act</t>
  </si>
  <si>
    <t>The balance unpaid represents the audit fee for the 2009/2010 audit conducted during and was paid in July 2011</t>
  </si>
  <si>
    <t>ACTING MUNICIPAL MANAGER</t>
  </si>
  <si>
    <t>Mayoral Awards</t>
  </si>
  <si>
    <t>Defined contribution plan</t>
  </si>
  <si>
    <t>Defined benefit plan</t>
  </si>
  <si>
    <t>An amount of R3,929,415 (2010 : R3,183,602) was contributed by Council in respect of Councillors and employees retirement funding.  These contributions have been expensed and are included in employee related costs for the year.</t>
  </si>
  <si>
    <r>
      <t>Certain employees of the municipality belong to the Joint Municipal pension fund, Municipal Employees Pension Fund, SALA Pension Fund, National Fund for Municipal Workers.</t>
    </r>
    <r>
      <rPr>
        <sz val="10"/>
        <rFont val="Arial"/>
        <family val="2"/>
      </rPr>
      <t xml:space="preserve"> The most recent actuarial valuation was done in 2007. These valuations indicate that the plan is in a sound financial position. </t>
    </r>
  </si>
  <si>
    <t>The following are defined contribution plans: Joint Municipal pension fund, Municipal Employees Pension Fund, SALA Pension Fund, National Fund for Municipal Workers. These contributions have been expensed.</t>
  </si>
  <si>
    <t>BUSINESS COMBINATION</t>
  </si>
  <si>
    <t>On 30 June 2011, 100% of the operations of Zelpy 1903 (Pty) Ltd, a municipal entity, was incorporated</t>
  </si>
  <si>
    <t xml:space="preserve"> into the municipality. The municipality took over the assets and liabilities of the municipal entity in line with </t>
  </si>
  <si>
    <t>Council Resolution 04/10/2010 "that Spirulina continue to operate as a LED Project". Zelpy is in the process of ceasing to exist as a company subsequent to 30 June 2011, and the Spirulina project with continue to operate as a LED project.</t>
  </si>
  <si>
    <t>The assets and liabilities at 30 June 2011 arising from the incorporation of Zelpy 1903 (Pty) Ltd are as</t>
  </si>
  <si>
    <t>follows:</t>
  </si>
  <si>
    <t>Loan account (If any)</t>
  </si>
  <si>
    <t>De-registered 30/06/2011</t>
  </si>
  <si>
    <t>NARE NGOEPE</t>
  </si>
  <si>
    <t>082 966 9230</t>
  </si>
  <si>
    <t>071 682 5004</t>
  </si>
  <si>
    <t>nare.ngoepe@limtreasury.gov.za</t>
  </si>
  <si>
    <t>BERNARD MOKGABUDI</t>
  </si>
  <si>
    <t>bernard.mokgabudi@treasury.gov.za</t>
  </si>
  <si>
    <t>The only company in Musina that does repairs and maintenance on technical vehicles</t>
  </si>
  <si>
    <t>Urgent additions on the trophhies for the mayoral awards</t>
  </si>
  <si>
    <t>simultaneous breakdown of 3  transfomers at phase 10 &amp; phase 11</t>
  </si>
  <si>
    <t>Benefit Pension</t>
  </si>
  <si>
    <t>Prior year correction Itangible</t>
  </si>
  <si>
    <t>Prior year correction Pension Benefit</t>
  </si>
  <si>
    <t>Town Establishment</t>
  </si>
  <si>
    <t>Refer to Appendix B for more detail on property, plant and equipment</t>
  </si>
  <si>
    <t>ABSA Bank - Fixed deposits</t>
  </si>
  <si>
    <t>ABSA Bank - Current/Cheque account</t>
  </si>
  <si>
    <t>The municipality is exposed to an ABSA bank guarantee in favour of Eskom.</t>
  </si>
  <si>
    <r>
      <t>The following are defined benefit plans: Municipal Gratuity Fund</t>
    </r>
    <r>
      <rPr>
        <sz val="6"/>
        <rFont val="Arial"/>
        <family val="2"/>
      </rPr>
      <t>.</t>
    </r>
    <r>
      <rPr>
        <sz val="10"/>
        <rFont val="Arial"/>
        <family val="2"/>
      </rPr>
      <t xml:space="preserve"> This plan is not treated as defined benefit plans as defined by IAS19, but are accounted for as defined contribution plans. This is in line with the exemption in IAS 19 par. 30 which states that where information required for proper defined benefit plan accounting is not available in respect of multi-employer and state plans, these should be accounted for as defined contribution plans. The municipality has been unsuccessful in obtaining the necessary information to support proper defined benefit plan accounting due to restrictions imposed by the multi-employer plan. It is therefore deemed impracticable to obtain this information at a suitable level of detail. </t>
    </r>
  </si>
  <si>
    <t>NOTES TO THE FINANANCIAL STATEMENTS</t>
  </si>
  <si>
    <t>Finance lease assets</t>
  </si>
  <si>
    <t>Correction of error (note 35)</t>
  </si>
  <si>
    <t>Accumulated depreciation and impairment losses</t>
  </si>
  <si>
    <t xml:space="preserve">Acquisitions </t>
  </si>
  <si>
    <t xml:space="preserve">Capital under Construction </t>
  </si>
  <si>
    <t xml:space="preserve">Depreciation </t>
  </si>
  <si>
    <t>as at 1 July 2009</t>
  </si>
  <si>
    <t>Correction of error (note 35</t>
  </si>
  <si>
    <t>*Other movements</t>
  </si>
  <si>
    <t>as at 30 June 2010</t>
  </si>
  <si>
    <t>as at 1 July 2011</t>
  </si>
  <si>
    <t>39.8               (cont)</t>
  </si>
  <si>
    <t>Mayoral Awards - Specific MC</t>
  </si>
  <si>
    <t>Golf Shirts mayoral Awards</t>
  </si>
  <si>
    <t>The only company who comprehand the nature of the machines to be delivered</t>
  </si>
  <si>
    <t>3.</t>
  </si>
  <si>
    <t>10-24</t>
  </si>
  <si>
    <t>34-37</t>
  </si>
  <si>
    <t>39-40</t>
  </si>
  <si>
    <t>42-43</t>
  </si>
  <si>
    <t>43-44</t>
  </si>
  <si>
    <t>44-45</t>
  </si>
  <si>
    <t>51-53</t>
  </si>
  <si>
    <t>54-56</t>
  </si>
  <si>
    <t>57-58</t>
  </si>
  <si>
    <t>70-72</t>
  </si>
  <si>
    <t>Earned more</t>
  </si>
  <si>
    <t>Eskom Increases</t>
  </si>
  <si>
    <t>Savings / Cost Cutting</t>
  </si>
  <si>
    <t xml:space="preserve">Current portion of long-service provision (see note 25) </t>
  </si>
  <si>
    <t>GRAP 8 Interest in Joint Ventures - issued August 2006</t>
  </si>
  <si>
    <t xml:space="preserve">The following standards, amendments to standards and interpretations have been issued but are </t>
  </si>
  <si>
    <t>not yet effective and have not been early adopted by the municipality:</t>
  </si>
  <si>
    <t>3-5</t>
  </si>
  <si>
    <t>The process for identifying investment property had not been finalised and items that may meet the definition was accounted for in terms of GAMAP 17 under property, plant and equipment .</t>
  </si>
  <si>
    <t>Assesment Rates</t>
  </si>
  <si>
    <t>Corrections prior year (note 33)</t>
  </si>
  <si>
    <t>Increase/(decrease) in deposits [see note 35]</t>
  </si>
  <si>
    <t>(Increase)/decrease in investments [see note 35</t>
  </si>
  <si>
    <t>(Increase)/decrease in inventories [see note 35]</t>
  </si>
  <si>
    <t>(Increase)/decrease in bank equivalent [see note 35]</t>
  </si>
  <si>
    <t>(Increase)/decrease in Unspent conditional Grants and Receipts [see note 35]</t>
  </si>
  <si>
    <t>(Increase)/decrease in debtors [see note 35]</t>
  </si>
  <si>
    <t>(Increase)/decrease in creditors [see not 35]</t>
  </si>
  <si>
    <t>See note 21 for reconciliation of grants. Funds is committed to projects. Some of projects was completed in 2010/2011. The funds still need to be paid, e.g. Retention money.</t>
  </si>
  <si>
    <t>External investments [Bank guarantee]</t>
  </si>
  <si>
    <t>Total interest earned external investment &amp; outstanding debtors (Nota 23 &amp; 24)</t>
  </si>
  <si>
    <t>1.22</t>
  </si>
  <si>
    <t>1.21</t>
  </si>
  <si>
    <t>1.20</t>
  </si>
  <si>
    <t>1.19</t>
  </si>
  <si>
    <t>1.18</t>
  </si>
  <si>
    <t>1.17</t>
  </si>
  <si>
    <t>1.16</t>
  </si>
  <si>
    <t>1.15</t>
  </si>
  <si>
    <t>1.13</t>
  </si>
  <si>
    <t>1.14</t>
  </si>
  <si>
    <t>1.12</t>
  </si>
  <si>
    <t>1.11</t>
  </si>
  <si>
    <t>1.10</t>
  </si>
  <si>
    <t>1.9</t>
  </si>
  <si>
    <t>1.8</t>
  </si>
  <si>
    <t>1.7</t>
  </si>
  <si>
    <t>1.6</t>
  </si>
  <si>
    <t>1.5</t>
  </si>
  <si>
    <t>1.4</t>
  </si>
  <si>
    <t>1.3</t>
  </si>
  <si>
    <t>1.2</t>
  </si>
  <si>
    <t>1.2.1</t>
  </si>
  <si>
    <t>1.2.3</t>
  </si>
  <si>
    <t>1.2.2</t>
  </si>
  <si>
    <t>1.2.4</t>
  </si>
  <si>
    <t>1.2.5</t>
  </si>
  <si>
    <t>1.3.1</t>
  </si>
  <si>
    <t>1.3.2</t>
  </si>
  <si>
    <t>1.3.3</t>
  </si>
  <si>
    <t>1.3.4</t>
  </si>
  <si>
    <t>1.4.1</t>
  </si>
  <si>
    <t>1.4.2</t>
  </si>
  <si>
    <t>1.5.1</t>
  </si>
  <si>
    <t>1.5.2</t>
  </si>
  <si>
    <t>1.6.1</t>
  </si>
  <si>
    <t>1.6.2</t>
  </si>
  <si>
    <t>1.6.2.1</t>
  </si>
  <si>
    <t xml:space="preserve">     INVESTMENTS</t>
  </si>
  <si>
    <t>1.6.2.2</t>
  </si>
  <si>
    <t xml:space="preserve">     TRADE AND OTHER RECEIVABLES</t>
  </si>
  <si>
    <t>1.6.2.3</t>
  </si>
  <si>
    <t>1.6.2.4</t>
  </si>
  <si>
    <t>1.12.1</t>
  </si>
  <si>
    <t>1.12.2</t>
  </si>
  <si>
    <t>1.12.3</t>
  </si>
  <si>
    <t>Depreciation is calculated at historical cost, using the straight-line method over the estimated useful lives of the assets. Components of assets that are significant in relation to the whole asset and that have different useful lives are depreciated separately. The annual depreciation rates are based on the following estimated average asset lives:</t>
  </si>
  <si>
    <t>Transfer Zelpy</t>
  </si>
  <si>
    <t>Zelpy transfer</t>
  </si>
  <si>
    <t>Creditors provision</t>
  </si>
  <si>
    <t xml:space="preserve">                                                                                                                                                                                                                                                                                                                                                                                                                                                                                                                                                                                                     </t>
  </si>
  <si>
    <t>050/440/1373</t>
  </si>
  <si>
    <t>loss on investment</t>
  </si>
  <si>
    <t>loss on investment Zelpy</t>
  </si>
  <si>
    <t>Prior year correction stale cheques</t>
  </si>
  <si>
    <t>Prior year correction Long Serv</t>
  </si>
  <si>
    <t>Prior year correction long serv</t>
  </si>
  <si>
    <t>Prior year correction Inventory</t>
  </si>
  <si>
    <t>pension benefit</t>
  </si>
  <si>
    <t>Long Serv</t>
  </si>
  <si>
    <t>medical benefit long serv paid</t>
  </si>
  <si>
    <t>Medical benefit &amp; leave</t>
  </si>
  <si>
    <t>Vhembe billing</t>
  </si>
  <si>
    <t>Bank Guarantee {Eskom}</t>
  </si>
  <si>
    <t>POST- RETIREMENT MEDICAL AID BENEFITS</t>
  </si>
  <si>
    <t>Depreciation Itangible</t>
  </si>
  <si>
    <t xml:space="preserve">                                                                                                                                                                                         </t>
  </si>
  <si>
    <t>Long serv awards</t>
  </si>
  <si>
    <t>Long service awards</t>
  </si>
  <si>
    <t>Increase/Decrease Revaluation Reserve</t>
  </si>
  <si>
    <t>Kutlwano Women</t>
  </si>
  <si>
    <t>Slabby Consulting</t>
  </si>
  <si>
    <t>Denzhe elec</t>
  </si>
  <si>
    <t>RFR Electrical</t>
  </si>
  <si>
    <t>Alert Steel</t>
  </si>
  <si>
    <t>Flight Specials</t>
  </si>
  <si>
    <t>The Mercies</t>
  </si>
  <si>
    <t>4 Mr Consulting</t>
  </si>
  <si>
    <t>Ndivho Construction</t>
  </si>
  <si>
    <t>Abeco Tanks</t>
  </si>
  <si>
    <t>Mvudi Park Trading</t>
  </si>
  <si>
    <t xml:space="preserve">Muravha Building </t>
  </si>
  <si>
    <t>NW Civil</t>
  </si>
  <si>
    <t>Kwezi Electrical</t>
  </si>
  <si>
    <t>Landman bore</t>
  </si>
  <si>
    <t>Bi-sided Walling</t>
  </si>
  <si>
    <t>Maktoz Trading</t>
  </si>
  <si>
    <t xml:space="preserve">Revualiation Reserve </t>
  </si>
  <si>
    <t>TOTAL OPERATING LEASES</t>
  </si>
  <si>
    <t>Opening Accrued Liability</t>
  </si>
  <si>
    <t>Current-service Cost</t>
  </si>
  <si>
    <t>Contributions (benefits paid)</t>
  </si>
  <si>
    <t>Total Annual Expense</t>
  </si>
  <si>
    <t>Actuarial Loss/Gain</t>
  </si>
  <si>
    <t>Closing Accrued Liability</t>
  </si>
  <si>
    <t>The Municipality provides certain post-retirement medical aid benefits .  These medical aid benefits are unfunded.</t>
  </si>
  <si>
    <t>These projections assume that he Municipality's health care arrangement and subsidy policy will remain as outlined in the valuation rapport and that all the actuarial assumptions made are borne out in practice</t>
  </si>
  <si>
    <t>In addition, it is assumed that no contributions are made by the Municipality towards prefunding its liability via an off-balance sheet vehicle.</t>
  </si>
  <si>
    <t>Fujitsu</t>
  </si>
  <si>
    <t>Pumpspec</t>
  </si>
  <si>
    <t>L.W Goosen Construction</t>
  </si>
  <si>
    <t>Franklin Materials</t>
  </si>
  <si>
    <t>Makhosi consulting</t>
  </si>
  <si>
    <t>Awards to persons in the service off the state</t>
  </si>
  <si>
    <t>There are key assumptions concerning the future and other uncertainty on the reporting date that have a signaficant risk of causing material adjustments in subsequent for future financial years including Calculation of Provision for Bad Debts, valuation of post employment benefits, rehabilitation of Land Fill Site</t>
  </si>
  <si>
    <t>Post Employment Medical awards</t>
  </si>
</sst>
</file>

<file path=xl/styles.xml><?xml version="1.0" encoding="utf-8"?>
<styleSheet xmlns="http://schemas.openxmlformats.org/spreadsheetml/2006/main">
  <numFmts count="14">
    <numFmt numFmtId="6" formatCode="&quot;R&quot;\ #,##0;[Red]&quot;R&quot;\ \-#,##0"/>
    <numFmt numFmtId="8" formatCode="&quot;R&quot;\ #,##0.00;[Red]&quot;R&quot;\ \-#,##0.00"/>
    <numFmt numFmtId="43" formatCode="_ * #,##0.00_ ;_ * \-#,##0.00_ ;_ * &quot;-&quot;??_ ;_ @_ "/>
    <numFmt numFmtId="164" formatCode="_(* #,##0.00_);_(* \(#,##0.00\);_(* &quot;-&quot;??_);_(@_)"/>
    <numFmt numFmtId="165" formatCode="_ * #,##0_ ;_ * \-#,##0_ ;_ * &quot;-&quot;??_ ;_ @_ "/>
    <numFmt numFmtId="166" formatCode="#\ ###\ ##0;\(#\ ###\ ##0\)"/>
    <numFmt numFmtId="167" formatCode="_(* #,##0_);_(* \(#,##0\);_(* &quot;-&quot;??_);_(@_)"/>
    <numFmt numFmtId="168" formatCode="_(* #,##0.0_);_(* \(#,##0.0\);_(* &quot;-&quot;??_);_(@_)"/>
    <numFmt numFmtId="169" formatCode="_(* #\ ###\ ##0_);_(* \(#\ ###\ ##0\);_(* &quot;-&quot;??_);_(@_)"/>
    <numFmt numFmtId="170" formatCode="#\ ###\ ###\ ##0_);\(#\ ###\ ##0\)"/>
    <numFmt numFmtId="171" formatCode="#\ ###\ ##0_);\(#\ ###\ ##0\)"/>
    <numFmt numFmtId="172" formatCode="&quot;R&quot;\ #,##0.00"/>
    <numFmt numFmtId="173" formatCode="_ * #,##0_ ;_ * \(#,##0\)_ ;_ * &quot;-&quot;??_ ;_ @_ "/>
    <numFmt numFmtId="174" formatCode="_ [$€-2]\ * #,##0.00_ ;_ [$€-2]\ * \-#,##0.00_ ;_ [$€-2]\ * &quot;-&quot;??_ "/>
  </numFmts>
  <fonts count="62">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color theme="1"/>
      <name val="Arial"/>
      <family val="2"/>
    </font>
    <font>
      <sz val="10"/>
      <color theme="1"/>
      <name val="Arial"/>
      <family val="2"/>
    </font>
    <font>
      <sz val="11"/>
      <color indexed="8"/>
      <name val="Calibri"/>
      <family val="2"/>
    </font>
    <font>
      <sz val="10"/>
      <color indexed="8"/>
      <name val="Arial"/>
      <family val="2"/>
    </font>
    <font>
      <sz val="9"/>
      <color indexed="81"/>
      <name val="Tahoma"/>
      <family val="2"/>
    </font>
    <font>
      <b/>
      <sz val="9"/>
      <color indexed="81"/>
      <name val="Tahoma"/>
      <family val="2"/>
    </font>
    <font>
      <sz val="8"/>
      <name val="Calibri"/>
      <family val="2"/>
    </font>
    <font>
      <sz val="10"/>
      <name val="Arial"/>
      <family val="2"/>
    </font>
    <font>
      <b/>
      <sz val="12"/>
      <name val="Arial"/>
      <family val="2"/>
    </font>
    <font>
      <sz val="12"/>
      <name val="Arial"/>
      <family val="2"/>
    </font>
    <font>
      <b/>
      <sz val="10"/>
      <color theme="1"/>
      <name val="Arial"/>
      <family val="2"/>
    </font>
    <font>
      <sz val="26"/>
      <color theme="1"/>
      <name val="Calibri"/>
      <family val="2"/>
      <scheme val="minor"/>
    </font>
    <font>
      <i/>
      <sz val="10"/>
      <color theme="1"/>
      <name val="Arial"/>
      <family val="2"/>
    </font>
    <font>
      <b/>
      <u/>
      <sz val="10"/>
      <color theme="1"/>
      <name val="Arial"/>
      <family val="2"/>
    </font>
    <font>
      <sz val="14"/>
      <color theme="1"/>
      <name val="Arial"/>
      <family val="2"/>
    </font>
    <font>
      <b/>
      <i/>
      <sz val="10"/>
      <color theme="1"/>
      <name val="Arial"/>
      <family val="2"/>
    </font>
    <font>
      <sz val="11"/>
      <color theme="1"/>
      <name val="Calibri"/>
      <family val="2"/>
    </font>
    <font>
      <sz val="12"/>
      <color theme="1"/>
      <name val="Arial"/>
      <family val="2"/>
    </font>
    <font>
      <b/>
      <sz val="8"/>
      <color theme="1"/>
      <name val="Arial"/>
      <family val="2"/>
    </font>
    <font>
      <b/>
      <sz val="36"/>
      <color theme="1"/>
      <name val="Arial"/>
      <family val="2"/>
    </font>
    <font>
      <b/>
      <sz val="26"/>
      <color theme="1"/>
      <name val="Calibri"/>
      <family val="2"/>
    </font>
    <font>
      <b/>
      <sz val="20"/>
      <color theme="1"/>
      <name val="Arial"/>
      <family val="2"/>
    </font>
    <font>
      <b/>
      <sz val="10"/>
      <name val="Arial"/>
      <family val="2"/>
    </font>
    <font>
      <b/>
      <i/>
      <u/>
      <sz val="12"/>
      <name val="Arial"/>
      <family val="2"/>
    </font>
    <font>
      <i/>
      <u/>
      <sz val="12"/>
      <name val="Arial"/>
      <family val="2"/>
    </font>
    <font>
      <sz val="11"/>
      <color theme="1"/>
      <name val="Calibri"/>
      <family val="2"/>
      <scheme val="minor"/>
    </font>
    <font>
      <b/>
      <i/>
      <sz val="10"/>
      <name val="Arial"/>
      <family val="2"/>
    </font>
    <font>
      <i/>
      <sz val="10"/>
      <name val="Arial"/>
      <family val="2"/>
    </font>
    <font>
      <b/>
      <u/>
      <sz val="10"/>
      <name val="Arial"/>
      <family val="2"/>
    </font>
    <font>
      <u/>
      <sz val="10"/>
      <name val="Arial"/>
      <family val="2"/>
    </font>
    <font>
      <b/>
      <u val="singleAccounting"/>
      <sz val="10"/>
      <name val="Arial"/>
      <family val="2"/>
    </font>
    <font>
      <sz val="10"/>
      <color rgb="FFFF0000"/>
      <name val="Arial"/>
      <family val="2"/>
    </font>
    <font>
      <sz val="10"/>
      <color indexed="10"/>
      <name val="Arial"/>
      <family val="2"/>
    </font>
    <font>
      <sz val="10"/>
      <color indexed="22"/>
      <name val="Arial"/>
      <family val="2"/>
    </font>
    <font>
      <b/>
      <sz val="12"/>
      <color theme="1"/>
      <name val="Arial"/>
      <family val="2"/>
    </font>
    <font>
      <b/>
      <sz val="10"/>
      <color rgb="FFFF0000"/>
      <name val="Arial"/>
      <family val="2"/>
    </font>
    <font>
      <b/>
      <sz val="14"/>
      <color theme="1"/>
      <name val="Calibri"/>
      <family val="2"/>
      <scheme val="minor"/>
    </font>
    <font>
      <sz val="11"/>
      <color theme="1"/>
      <name val="Arial"/>
      <family val="2"/>
    </font>
    <font>
      <b/>
      <sz val="11"/>
      <color theme="1"/>
      <name val="Arial"/>
      <family val="2"/>
    </font>
    <font>
      <b/>
      <sz val="16"/>
      <color theme="1"/>
      <name val="Arial"/>
      <family val="2"/>
    </font>
    <font>
      <sz val="11"/>
      <name val="Arial"/>
      <family val="2"/>
    </font>
    <font>
      <b/>
      <strike/>
      <sz val="10"/>
      <name val="Arial"/>
      <family val="2"/>
    </font>
    <font>
      <strike/>
      <sz val="10"/>
      <name val="Arial"/>
      <family val="2"/>
    </font>
    <font>
      <strike/>
      <sz val="10"/>
      <color theme="1"/>
      <name val="Arial"/>
      <family val="2"/>
    </font>
    <font>
      <strike/>
      <sz val="10"/>
      <color indexed="22"/>
      <name val="Arial"/>
      <family val="2"/>
    </font>
    <font>
      <u/>
      <sz val="11"/>
      <color theme="10"/>
      <name val="Calibri"/>
      <family val="2"/>
    </font>
    <font>
      <u/>
      <sz val="11"/>
      <name val="Calibri"/>
      <family val="2"/>
    </font>
    <font>
      <sz val="11"/>
      <color rgb="FFFF0000"/>
      <name val="Calibri"/>
      <family val="2"/>
      <scheme val="minor"/>
    </font>
    <font>
      <strike/>
      <sz val="10"/>
      <color rgb="FFFF0000"/>
      <name val="Arial"/>
      <family val="2"/>
    </font>
    <font>
      <sz val="11"/>
      <name val="Calibri"/>
      <family val="2"/>
      <scheme val="minor"/>
    </font>
    <font>
      <sz val="6"/>
      <name val="Arial"/>
      <family val="2"/>
    </font>
    <font>
      <b/>
      <strike/>
      <sz val="10"/>
      <color rgb="FFFF0000"/>
      <name val="Arial"/>
      <family val="2"/>
    </font>
    <font>
      <strike/>
      <sz val="11"/>
      <color rgb="FFFF0000"/>
      <name val="Calibri"/>
      <family val="2"/>
      <scheme val="minor"/>
    </font>
    <font>
      <u/>
      <sz val="10"/>
      <color indexed="12"/>
      <name val="Arial"/>
      <family val="2"/>
    </font>
    <font>
      <u/>
      <sz val="10"/>
      <color theme="1"/>
      <name val="Arial"/>
      <family val="2"/>
    </font>
  </fonts>
  <fills count="8">
    <fill>
      <patternFill patternType="none"/>
    </fill>
    <fill>
      <patternFill patternType="gray125"/>
    </fill>
    <fill>
      <patternFill patternType="solid">
        <fgColor rgb="FFFF0000"/>
        <bgColor indexed="64"/>
      </patternFill>
    </fill>
    <fill>
      <patternFill patternType="solid">
        <fgColor indexed="41"/>
        <bgColor indexed="64"/>
      </patternFill>
    </fill>
    <fill>
      <patternFill patternType="solid">
        <fgColor rgb="FFCCCCFF"/>
        <bgColor indexed="64"/>
      </patternFill>
    </fill>
    <fill>
      <patternFill patternType="solid">
        <fgColor indexed="9"/>
        <bgColor indexed="64"/>
      </patternFill>
    </fill>
    <fill>
      <patternFill patternType="solid">
        <fgColor rgb="FFFFFF00"/>
        <bgColor indexed="64"/>
      </patternFill>
    </fill>
    <fill>
      <patternFill patternType="solid">
        <fgColor rgb="FFFF99CC"/>
        <bgColor indexed="64"/>
      </patternFill>
    </fill>
  </fills>
  <borders count="119">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dotted">
        <color indexed="64"/>
      </left>
      <right style="dotted">
        <color indexed="64"/>
      </right>
      <top style="dotted">
        <color indexed="64"/>
      </top>
      <bottom style="dotted">
        <color indexed="6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top style="double">
        <color indexed="64"/>
      </top>
      <bottom/>
      <diagonal/>
    </border>
    <border>
      <left/>
      <right/>
      <top/>
      <bottom style="double">
        <color indexed="64"/>
      </bottom>
      <diagonal/>
    </border>
    <border>
      <left style="double">
        <color indexed="8"/>
      </left>
      <right/>
      <top/>
      <bottom/>
      <diagonal/>
    </border>
    <border>
      <left/>
      <right style="double">
        <color indexed="8"/>
      </right>
      <top/>
      <bottom/>
      <diagonal/>
    </border>
    <border>
      <left style="medium">
        <color indexed="64"/>
      </left>
      <right/>
      <top style="medium">
        <color indexed="64"/>
      </top>
      <bottom/>
      <diagonal/>
    </border>
    <border>
      <left/>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ck">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n">
        <color indexed="64"/>
      </top>
      <bottom/>
      <diagonal/>
    </border>
    <border>
      <left/>
      <right style="thick">
        <color indexed="64"/>
      </right>
      <top style="thin">
        <color indexed="64"/>
      </top>
      <bottom style="double">
        <color indexed="64"/>
      </bottom>
      <diagonal/>
    </border>
    <border>
      <left style="thick">
        <color indexed="64"/>
      </left>
      <right/>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style="thin">
        <color indexed="64"/>
      </top>
      <bottom/>
      <diagonal/>
    </border>
    <border>
      <left/>
      <right style="thick">
        <color indexed="64"/>
      </right>
      <top/>
      <bottom style="double">
        <color indexed="64"/>
      </bottom>
      <diagonal/>
    </border>
    <border>
      <left/>
      <right style="thick">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ck">
        <color auto="1"/>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s>
  <cellStyleXfs count="17">
    <xf numFmtId="0" fontId="0" fillId="0" borderId="0"/>
    <xf numFmtId="164" fontId="9" fillId="0" borderId="0" applyFont="0" applyFill="0" applyBorder="0" applyAlignment="0" applyProtection="0"/>
    <xf numFmtId="0" fontId="14" fillId="0" borderId="0"/>
    <xf numFmtId="0" fontId="14" fillId="0" borderId="0"/>
    <xf numFmtId="0" fontId="14" fillId="0" borderId="0"/>
    <xf numFmtId="9" fontId="9" fillId="0" borderId="0" applyFont="0" applyFill="0" applyBorder="0" applyAlignment="0" applyProtection="0"/>
    <xf numFmtId="0" fontId="14" fillId="0" borderId="0"/>
    <xf numFmtId="0" fontId="9" fillId="0" borderId="0"/>
    <xf numFmtId="43" fontId="9" fillId="0" borderId="0" applyFont="0" applyFill="0" applyBorder="0" applyAlignment="0" applyProtection="0"/>
    <xf numFmtId="0" fontId="32" fillId="0" borderId="0"/>
    <xf numFmtId="164" fontId="14" fillId="0" borderId="0" applyFont="0" applyFill="0" applyBorder="0" applyAlignment="0" applyProtection="0"/>
    <xf numFmtId="0" fontId="32" fillId="0" borderId="0"/>
    <xf numFmtId="174" fontId="6" fillId="0" borderId="0" applyFont="0" applyFill="0" applyBorder="0" applyAlignment="0" applyProtection="0"/>
    <xf numFmtId="0" fontId="52" fillId="0" borderId="0" applyNumberFormat="0" applyFill="0" applyBorder="0" applyAlignment="0" applyProtection="0">
      <alignment vertical="top"/>
      <protection locked="0"/>
    </xf>
    <xf numFmtId="0" fontId="6" fillId="0" borderId="0"/>
    <xf numFmtId="43" fontId="6" fillId="0" borderId="0" applyFont="0" applyFill="0" applyBorder="0" applyAlignment="0" applyProtection="0"/>
    <xf numFmtId="0" fontId="60" fillId="0" borderId="0" applyNumberFormat="0" applyFill="0" applyBorder="0" applyAlignment="0" applyProtection="0">
      <alignment vertical="top"/>
      <protection locked="0"/>
    </xf>
  </cellStyleXfs>
  <cellXfs count="1825">
    <xf numFmtId="0" fontId="0" fillId="0" borderId="0" xfId="0"/>
    <xf numFmtId="169" fontId="17" fillId="0" borderId="0" xfId="3" applyNumberFormat="1" applyFont="1" applyFill="1" applyBorder="1" applyAlignment="1">
      <alignment horizontal="right" vertical="center"/>
    </xf>
    <xf numFmtId="168" fontId="17" fillId="0" borderId="0" xfId="1" applyNumberFormat="1" applyFont="1" applyFill="1" applyBorder="1" applyAlignment="1">
      <alignment horizontal="center" vertical="center"/>
    </xf>
    <xf numFmtId="0" fontId="17" fillId="0" borderId="0" xfId="3" applyFont="1" applyFill="1" applyBorder="1" applyAlignment="1">
      <alignment horizontal="justify" vertical="center" wrapText="1"/>
    </xf>
    <xf numFmtId="167" fontId="17" fillId="0" borderId="13" xfId="1" applyNumberFormat="1" applyFont="1" applyFill="1" applyBorder="1" applyAlignment="1">
      <alignment horizontal="right" vertical="center"/>
    </xf>
    <xf numFmtId="167" fontId="17" fillId="0" borderId="0" xfId="1" applyNumberFormat="1" applyFont="1" applyFill="1" applyBorder="1" applyAlignment="1">
      <alignment horizontal="right" vertical="center"/>
    </xf>
    <xf numFmtId="167" fontId="17" fillId="0" borderId="5" xfId="1" applyNumberFormat="1" applyFont="1" applyFill="1" applyBorder="1" applyAlignment="1">
      <alignment horizontal="right" vertical="center"/>
    </xf>
    <xf numFmtId="167" fontId="17" fillId="0" borderId="2" xfId="1" applyNumberFormat="1" applyFont="1" applyFill="1" applyBorder="1" applyAlignment="1">
      <alignment horizontal="right" vertical="center"/>
    </xf>
    <xf numFmtId="0" fontId="17" fillId="0" borderId="0" xfId="3" applyFont="1" applyFill="1" applyBorder="1" applyAlignment="1">
      <alignment horizontal="left" vertical="center" wrapText="1"/>
    </xf>
    <xf numFmtId="167" fontId="17" fillId="0" borderId="3" xfId="1" applyNumberFormat="1" applyFont="1" applyFill="1" applyBorder="1" applyAlignment="1">
      <alignment horizontal="right" vertical="center"/>
    </xf>
    <xf numFmtId="169" fontId="17" fillId="0" borderId="0" xfId="4" applyNumberFormat="1" applyFont="1" applyFill="1" applyBorder="1" applyAlignment="1">
      <alignment horizontal="right" vertical="center"/>
    </xf>
    <xf numFmtId="167" fontId="17" fillId="0" borderId="16" xfId="1" applyNumberFormat="1" applyFont="1" applyFill="1" applyBorder="1" applyAlignment="1">
      <alignment horizontal="right" vertical="center"/>
    </xf>
    <xf numFmtId="167" fontId="17" fillId="0" borderId="15" xfId="1" applyNumberFormat="1" applyFont="1" applyFill="1" applyBorder="1" applyAlignment="1">
      <alignment horizontal="right" vertical="center"/>
    </xf>
    <xf numFmtId="168" fontId="17" fillId="0" borderId="5" xfId="1" applyNumberFormat="1" applyFont="1" applyFill="1" applyBorder="1" applyAlignment="1">
      <alignment horizontal="center" vertical="center"/>
    </xf>
    <xf numFmtId="168" fontId="17" fillId="0" borderId="13" xfId="1" applyNumberFormat="1" applyFont="1" applyFill="1" applyBorder="1" applyAlignment="1">
      <alignment horizontal="center" vertical="center"/>
    </xf>
    <xf numFmtId="0" fontId="17" fillId="0" borderId="13" xfId="3" applyFont="1" applyFill="1" applyBorder="1" applyAlignment="1">
      <alignment horizontal="justify" vertical="center" wrapText="1"/>
    </xf>
    <xf numFmtId="0" fontId="16" fillId="0" borderId="2" xfId="0" applyFont="1" applyFill="1" applyBorder="1" applyAlignment="1">
      <alignment horizontal="center" vertical="center"/>
    </xf>
    <xf numFmtId="0" fontId="16" fillId="0" borderId="2" xfId="0" applyFont="1" applyFill="1" applyBorder="1" applyAlignment="1">
      <alignment vertical="center"/>
    </xf>
    <xf numFmtId="164" fontId="16" fillId="0" borderId="2" xfId="1" applyFont="1" applyFill="1" applyBorder="1" applyAlignment="1">
      <alignment vertical="center"/>
    </xf>
    <xf numFmtId="0" fontId="16" fillId="0" borderId="2" xfId="0" quotePrefix="1" applyFont="1" applyFill="1" applyBorder="1" applyAlignment="1">
      <alignment horizontal="center" vertical="center"/>
    </xf>
    <xf numFmtId="164" fontId="15" fillId="0" borderId="2" xfId="1" applyFont="1" applyFill="1" applyBorder="1" applyAlignment="1">
      <alignment vertical="center"/>
    </xf>
    <xf numFmtId="0" fontId="16" fillId="0" borderId="0" xfId="0" applyFont="1" applyFill="1" applyAlignment="1">
      <alignment vertical="center"/>
    </xf>
    <xf numFmtId="164" fontId="15" fillId="0" borderId="39" xfId="1" applyFont="1" applyFill="1" applyBorder="1" applyAlignment="1">
      <alignment vertical="center"/>
    </xf>
    <xf numFmtId="0" fontId="15" fillId="0" borderId="39" xfId="0" applyFont="1" applyFill="1" applyBorder="1" applyAlignment="1">
      <alignment vertical="center"/>
    </xf>
    <xf numFmtId="0" fontId="15" fillId="0" borderId="48" xfId="0" applyFont="1" applyFill="1" applyBorder="1" applyAlignment="1">
      <alignment vertical="center"/>
    </xf>
    <xf numFmtId="0" fontId="15" fillId="0" borderId="46" xfId="0" applyFont="1" applyFill="1" applyBorder="1" applyAlignment="1">
      <alignment vertical="center"/>
    </xf>
    <xf numFmtId="0" fontId="15" fillId="0" borderId="47"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164" fontId="16" fillId="0" borderId="0" xfId="1" applyFont="1" applyFill="1" applyBorder="1" applyAlignment="1">
      <alignment vertical="center"/>
    </xf>
    <xf numFmtId="0" fontId="17" fillId="0" borderId="0" xfId="0" applyFont="1" applyFill="1" applyBorder="1" applyAlignment="1">
      <alignment horizontal="center" vertical="center"/>
    </xf>
    <xf numFmtId="0" fontId="17" fillId="0" borderId="0" xfId="0" applyFont="1" applyFill="1" applyBorder="1" applyAlignment="1">
      <alignment vertical="center"/>
    </xf>
    <xf numFmtId="0" fontId="17" fillId="0" borderId="0" xfId="0" applyFont="1" applyFill="1" applyAlignment="1">
      <alignment vertical="center"/>
    </xf>
    <xf numFmtId="0" fontId="17" fillId="0" borderId="0" xfId="0" applyFont="1" applyFill="1" applyBorder="1" applyAlignment="1">
      <alignment vertical="center" wrapText="1"/>
    </xf>
    <xf numFmtId="167" fontId="17" fillId="0" borderId="7" xfId="1" applyNumberFormat="1" applyFont="1" applyFill="1" applyBorder="1" applyAlignment="1">
      <alignment vertical="center"/>
    </xf>
    <xf numFmtId="167" fontId="17" fillId="0" borderId="1" xfId="1" applyNumberFormat="1" applyFont="1" applyFill="1" applyBorder="1" applyAlignment="1">
      <alignment vertical="center"/>
    </xf>
    <xf numFmtId="167" fontId="17" fillId="0" borderId="2" xfId="1" applyNumberFormat="1" applyFont="1" applyFill="1" applyBorder="1" applyAlignment="1">
      <alignment vertical="center" wrapText="1"/>
    </xf>
    <xf numFmtId="0" fontId="17" fillId="0" borderId="2" xfId="0" applyFont="1" applyFill="1" applyBorder="1" applyAlignment="1">
      <alignment horizontal="center" vertical="center" wrapText="1"/>
    </xf>
    <xf numFmtId="167" fontId="17" fillId="0" borderId="0" xfId="1" applyNumberFormat="1" applyFont="1" applyFill="1" applyBorder="1" applyAlignment="1">
      <alignment vertical="center" wrapText="1"/>
    </xf>
    <xf numFmtId="167" fontId="17" fillId="0" borderId="0" xfId="1" applyNumberFormat="1" applyFont="1" applyFill="1" applyBorder="1" applyAlignment="1">
      <alignment horizontal="center" vertical="center" wrapText="1"/>
    </xf>
    <xf numFmtId="167" fontId="17" fillId="0" borderId="2" xfId="1" applyNumberFormat="1" applyFont="1" applyFill="1" applyBorder="1" applyAlignment="1">
      <alignment horizontal="center" vertical="center" wrapText="1"/>
    </xf>
    <xf numFmtId="167" fontId="17" fillId="0" borderId="0" xfId="1" applyNumberFormat="1" applyFont="1" applyFill="1" applyBorder="1" applyAlignment="1">
      <alignment horizontal="right" vertical="center" wrapText="1"/>
    </xf>
    <xf numFmtId="167" fontId="17" fillId="0" borderId="4" xfId="1" applyNumberFormat="1" applyFont="1" applyFill="1" applyBorder="1" applyAlignment="1">
      <alignment horizontal="right" vertical="center" wrapText="1"/>
    </xf>
    <xf numFmtId="167" fontId="17" fillId="0" borderId="9" xfId="1" applyNumberFormat="1" applyFont="1" applyFill="1" applyBorder="1" applyAlignment="1">
      <alignment vertical="center" wrapText="1"/>
    </xf>
    <xf numFmtId="167" fontId="17" fillId="0" borderId="9" xfId="1" applyNumberFormat="1" applyFont="1" applyFill="1" applyBorder="1" applyAlignment="1">
      <alignment horizontal="center" vertical="center" wrapText="1"/>
    </xf>
    <xf numFmtId="167" fontId="17" fillId="0" borderId="4" xfId="1" applyNumberFormat="1" applyFont="1" applyFill="1" applyBorder="1" applyAlignment="1">
      <alignment horizontal="center" vertical="center" wrapText="1"/>
    </xf>
    <xf numFmtId="167" fontId="17" fillId="0" borderId="6" xfId="1" applyNumberFormat="1" applyFont="1" applyFill="1" applyBorder="1" applyAlignment="1">
      <alignment horizontal="right" vertical="center" wrapText="1"/>
    </xf>
    <xf numFmtId="167" fontId="17" fillId="0" borderId="4" xfId="1" applyNumberFormat="1" applyFont="1" applyFill="1" applyBorder="1" applyAlignment="1">
      <alignment vertical="center" wrapText="1"/>
    </xf>
    <xf numFmtId="167" fontId="17" fillId="0" borderId="8" xfId="1" applyNumberFormat="1" applyFont="1" applyFill="1" applyBorder="1" applyAlignment="1">
      <alignment vertical="center" wrapText="1"/>
    </xf>
    <xf numFmtId="0" fontId="18" fillId="0" borderId="9" xfId="0" applyFont="1" applyFill="1" applyBorder="1"/>
    <xf numFmtId="0" fontId="18" fillId="0" borderId="4" xfId="0" applyFont="1" applyFill="1" applyBorder="1"/>
    <xf numFmtId="167" fontId="8" fillId="0" borderId="0" xfId="1" applyNumberFormat="1" applyFont="1" applyFill="1" applyBorder="1" applyAlignment="1">
      <alignment vertical="center"/>
    </xf>
    <xf numFmtId="164" fontId="8" fillId="0" borderId="0" xfId="1" applyFont="1" applyFill="1" applyBorder="1" applyAlignment="1">
      <alignment vertical="center"/>
    </xf>
    <xf numFmtId="167" fontId="8" fillId="0" borderId="1" xfId="1" applyNumberFormat="1" applyFont="1" applyFill="1" applyBorder="1" applyAlignment="1">
      <alignment vertical="center"/>
    </xf>
    <xf numFmtId="167" fontId="8" fillId="0" borderId="15" xfId="1" applyNumberFormat="1" applyFont="1" applyFill="1" applyBorder="1" applyAlignment="1">
      <alignment vertical="center"/>
    </xf>
    <xf numFmtId="167" fontId="8" fillId="0" borderId="16" xfId="1" applyNumberFormat="1" applyFont="1" applyFill="1" applyBorder="1" applyAlignment="1">
      <alignment vertical="center"/>
    </xf>
    <xf numFmtId="0" fontId="8" fillId="0" borderId="0" xfId="0" applyFont="1" applyFill="1" applyBorder="1" applyAlignment="1">
      <alignment vertical="center" wrapText="1"/>
    </xf>
    <xf numFmtId="0" fontId="0" fillId="0" borderId="0" xfId="0" applyFont="1" applyFill="1"/>
    <xf numFmtId="0" fontId="17" fillId="0" borderId="1" xfId="0" applyFont="1" applyFill="1" applyBorder="1" applyAlignment="1">
      <alignment vertical="center" wrapText="1"/>
    </xf>
    <xf numFmtId="167" fontId="17" fillId="0" borderId="1" xfId="1" applyNumberFormat="1" applyFont="1" applyFill="1" applyBorder="1" applyAlignment="1">
      <alignment horizontal="right" vertical="center" wrapText="1"/>
    </xf>
    <xf numFmtId="164" fontId="17" fillId="0" borderId="1" xfId="1" applyNumberFormat="1" applyFont="1" applyFill="1" applyBorder="1" applyAlignment="1">
      <alignment horizontal="right" vertical="center" wrapText="1"/>
    </xf>
    <xf numFmtId="167" fontId="17" fillId="0" borderId="16" xfId="1" applyNumberFormat="1" applyFont="1" applyFill="1" applyBorder="1" applyAlignment="1">
      <alignment horizontal="center" vertical="center" wrapText="1"/>
    </xf>
    <xf numFmtId="0" fontId="22" fillId="0" borderId="0" xfId="0" applyFont="1" applyFill="1" applyBorder="1" applyAlignment="1">
      <alignment vertical="center"/>
    </xf>
    <xf numFmtId="164" fontId="8" fillId="0" borderId="9" xfId="1" applyFont="1" applyFill="1" applyBorder="1" applyAlignment="1">
      <alignment vertical="center"/>
    </xf>
    <xf numFmtId="0" fontId="0" fillId="0" borderId="13" xfId="0" applyFont="1" applyFill="1" applyBorder="1"/>
    <xf numFmtId="0" fontId="0" fillId="0" borderId="0" xfId="0" applyFont="1" applyFill="1" applyBorder="1"/>
    <xf numFmtId="0" fontId="0" fillId="0" borderId="9" xfId="0" applyFont="1" applyFill="1" applyBorder="1"/>
    <xf numFmtId="0" fontId="0" fillId="0" borderId="8" xfId="0" applyFont="1" applyFill="1" applyBorder="1"/>
    <xf numFmtId="0" fontId="0" fillId="0" borderId="5" xfId="0" applyFont="1" applyFill="1" applyBorder="1"/>
    <xf numFmtId="0" fontId="0" fillId="0" borderId="12" xfId="0" applyFont="1" applyFill="1" applyBorder="1"/>
    <xf numFmtId="164" fontId="17" fillId="0" borderId="0" xfId="1" applyFont="1" applyFill="1" applyBorder="1" applyAlignment="1">
      <alignment horizontal="center" vertical="center" wrapText="1"/>
    </xf>
    <xf numFmtId="167" fontId="24" fillId="0" borderId="0" xfId="1" applyNumberFormat="1" applyFont="1" applyFill="1" applyBorder="1" applyAlignment="1">
      <alignment vertical="center"/>
    </xf>
    <xf numFmtId="167" fontId="17" fillId="0" borderId="1" xfId="1" applyNumberFormat="1" applyFont="1" applyFill="1" applyBorder="1" applyAlignment="1">
      <alignment horizontal="center" vertical="center"/>
    </xf>
    <xf numFmtId="170" fontId="8" fillId="0" borderId="0" xfId="1" applyNumberFormat="1" applyFont="1" applyFill="1" applyBorder="1" applyAlignment="1">
      <alignment vertical="center"/>
    </xf>
    <xf numFmtId="0" fontId="17" fillId="0" borderId="0" xfId="0" applyFont="1" applyFill="1" applyBorder="1"/>
    <xf numFmtId="164" fontId="8" fillId="0" borderId="15" xfId="1" applyFont="1" applyFill="1" applyBorder="1" applyAlignment="1">
      <alignment vertical="center"/>
    </xf>
    <xf numFmtId="167" fontId="17" fillId="0" borderId="16" xfId="1" applyNumberFormat="1" applyFont="1" applyFill="1" applyBorder="1" applyAlignment="1">
      <alignment vertical="center"/>
    </xf>
    <xf numFmtId="164" fontId="17" fillId="0" borderId="16" xfId="1" applyFont="1" applyFill="1" applyBorder="1" applyAlignment="1">
      <alignment vertical="center"/>
    </xf>
    <xf numFmtId="164" fontId="8" fillId="0" borderId="16" xfId="1" applyFont="1" applyFill="1" applyBorder="1" applyAlignment="1">
      <alignment vertical="center"/>
    </xf>
    <xf numFmtId="164" fontId="8" fillId="0" borderId="1" xfId="1" applyFont="1" applyFill="1" applyBorder="1" applyAlignment="1">
      <alignment vertical="center"/>
    </xf>
    <xf numFmtId="164" fontId="17" fillId="0" borderId="1" xfId="1" applyFont="1" applyFill="1" applyBorder="1" applyAlignment="1">
      <alignment vertical="center"/>
    </xf>
    <xf numFmtId="0" fontId="0" fillId="0" borderId="14" xfId="0" applyFont="1" applyFill="1" applyBorder="1"/>
    <xf numFmtId="0" fontId="0" fillId="0" borderId="4" xfId="0" applyFont="1" applyFill="1" applyBorder="1"/>
    <xf numFmtId="0" fontId="26" fillId="0" borderId="0" xfId="0" applyFont="1" applyFill="1" applyBorder="1" applyAlignment="1">
      <alignment horizontal="center"/>
    </xf>
    <xf numFmtId="0" fontId="27" fillId="0" borderId="0" xfId="0" applyFont="1" applyFill="1" applyBorder="1" applyAlignment="1">
      <alignment horizontal="center"/>
    </xf>
    <xf numFmtId="0" fontId="23" fillId="0" borderId="0" xfId="0" applyFont="1" applyFill="1" applyBorder="1" applyAlignment="1">
      <alignment horizontal="center"/>
    </xf>
    <xf numFmtId="0" fontId="21" fillId="0" borderId="0" xfId="0" applyFont="1" applyFill="1" applyBorder="1" applyAlignment="1">
      <alignment horizontal="center" vertical="top" wrapText="1"/>
    </xf>
    <xf numFmtId="0" fontId="21" fillId="0" borderId="28" xfId="0" applyFont="1" applyFill="1" applyBorder="1" applyAlignment="1">
      <alignment horizontal="center" vertical="top" wrapText="1"/>
    </xf>
    <xf numFmtId="0" fontId="28" fillId="0" borderId="29" xfId="0" applyFont="1" applyFill="1" applyBorder="1" applyAlignment="1">
      <alignment horizontal="center" vertical="top" wrapText="1"/>
    </xf>
    <xf numFmtId="0" fontId="25" fillId="0" borderId="30" xfId="0" applyFont="1" applyFill="1" applyBorder="1"/>
    <xf numFmtId="0" fontId="25" fillId="0" borderId="0" xfId="0" applyFont="1" applyFill="1" applyBorder="1"/>
    <xf numFmtId="0" fontId="0" fillId="0" borderId="6" xfId="0" applyFont="1" applyFill="1" applyBorder="1"/>
    <xf numFmtId="0" fontId="19" fillId="0" borderId="1" xfId="0" applyFont="1" applyFill="1" applyBorder="1" applyAlignment="1">
      <alignment vertical="center"/>
    </xf>
    <xf numFmtId="0" fontId="7" fillId="0" borderId="0" xfId="0" applyFont="1" applyFill="1" applyBorder="1"/>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16" fillId="0" borderId="16" xfId="0" applyFont="1" applyFill="1" applyBorder="1" applyAlignment="1">
      <alignment horizontal="center" vertical="center"/>
    </xf>
    <xf numFmtId="0" fontId="16" fillId="0" borderId="16" xfId="0" applyFont="1" applyFill="1" applyBorder="1" applyAlignment="1">
      <alignment vertical="center"/>
    </xf>
    <xf numFmtId="164" fontId="16" fillId="0" borderId="16" xfId="1" applyFont="1" applyFill="1" applyBorder="1" applyAlignment="1">
      <alignment vertical="center"/>
    </xf>
    <xf numFmtId="169" fontId="17" fillId="0" borderId="38" xfId="3" quotePrefix="1" applyNumberFormat="1" applyFont="1" applyFill="1" applyBorder="1" applyAlignment="1">
      <alignment horizontal="center" vertical="center"/>
    </xf>
    <xf numFmtId="169" fontId="17" fillId="0" borderId="0" xfId="3" quotePrefix="1" applyNumberFormat="1" applyFont="1" applyFill="1" applyBorder="1" applyAlignment="1">
      <alignment horizontal="center" vertical="center"/>
    </xf>
    <xf numFmtId="0" fontId="7" fillId="0" borderId="1" xfId="0" applyFont="1" applyFill="1" applyBorder="1" applyAlignment="1">
      <alignment vertical="center"/>
    </xf>
    <xf numFmtId="0" fontId="16" fillId="0" borderId="15" xfId="0" applyFont="1" applyFill="1" applyBorder="1" applyAlignment="1">
      <alignment horizontal="center" vertical="center"/>
    </xf>
    <xf numFmtId="164" fontId="16" fillId="0" borderId="15" xfId="1" applyFont="1" applyFill="1" applyBorder="1" applyAlignment="1">
      <alignment vertical="center"/>
    </xf>
    <xf numFmtId="0" fontId="30" fillId="0" borderId="0" xfId="0" applyFont="1" applyFill="1" applyAlignment="1">
      <alignment vertical="center"/>
    </xf>
    <xf numFmtId="164" fontId="30" fillId="0" borderId="0" xfId="1" applyFont="1" applyFill="1" applyAlignment="1">
      <alignment vertical="center"/>
    </xf>
    <xf numFmtId="164" fontId="31" fillId="0" borderId="0" xfId="1" applyFont="1" applyFill="1" applyAlignment="1">
      <alignment vertical="center"/>
    </xf>
    <xf numFmtId="0" fontId="15" fillId="0" borderId="0" xfId="0" applyFont="1" applyFill="1" applyAlignment="1">
      <alignment horizontal="center" vertical="center"/>
    </xf>
    <xf numFmtId="164" fontId="15" fillId="0" borderId="0" xfId="1" applyFont="1" applyFill="1" applyAlignment="1">
      <alignment horizontal="center" vertical="center" wrapText="1"/>
    </xf>
    <xf numFmtId="164" fontId="15" fillId="0" borderId="0" xfId="1" applyFont="1" applyFill="1" applyAlignment="1">
      <alignment horizontal="center" vertical="center"/>
    </xf>
    <xf numFmtId="164" fontId="16" fillId="0" borderId="0" xfId="1" applyFont="1" applyFill="1" applyAlignment="1">
      <alignment horizontal="center" vertical="center"/>
    </xf>
    <xf numFmtId="0" fontId="16" fillId="0" borderId="0" xfId="0" applyFont="1" applyFill="1" applyAlignment="1">
      <alignment horizontal="center" vertical="center"/>
    </xf>
    <xf numFmtId="164" fontId="15" fillId="0" borderId="0" xfId="1" quotePrefix="1" applyFont="1" applyFill="1" applyAlignment="1">
      <alignment horizontal="center" vertical="center"/>
    </xf>
    <xf numFmtId="164" fontId="16" fillId="0" borderId="0" xfId="1" applyFont="1" applyFill="1" applyAlignment="1">
      <alignment vertical="center"/>
    </xf>
    <xf numFmtId="164" fontId="15" fillId="0" borderId="0" xfId="1" applyFont="1" applyFill="1" applyAlignment="1">
      <alignment vertical="center"/>
    </xf>
    <xf numFmtId="164" fontId="15" fillId="0" borderId="0" xfId="1" applyFont="1" applyFill="1" applyBorder="1" applyAlignment="1">
      <alignment vertical="center"/>
    </xf>
    <xf numFmtId="164" fontId="15" fillId="0" borderId="63" xfId="1" applyFont="1" applyFill="1" applyBorder="1" applyAlignment="1">
      <alignment vertical="center"/>
    </xf>
    <xf numFmtId="0" fontId="15" fillId="0" borderId="0" xfId="0" applyFont="1" applyFill="1" applyAlignment="1">
      <alignment vertical="center"/>
    </xf>
    <xf numFmtId="43" fontId="15" fillId="0" borderId="0" xfId="0" applyNumberFormat="1" applyFont="1" applyFill="1" applyAlignment="1">
      <alignment vertical="center"/>
    </xf>
    <xf numFmtId="43" fontId="16" fillId="0" borderId="0" xfId="0" applyNumberFormat="1" applyFont="1" applyFill="1" applyAlignment="1">
      <alignment vertical="center"/>
    </xf>
    <xf numFmtId="0" fontId="15" fillId="0" borderId="47" xfId="0" applyFont="1" applyFill="1" applyBorder="1" applyAlignment="1">
      <alignment horizontal="center" vertical="center"/>
    </xf>
    <xf numFmtId="0" fontId="15" fillId="0" borderId="48" xfId="0" applyFont="1" applyFill="1" applyBorder="1" applyAlignment="1">
      <alignment horizontal="center" vertical="center"/>
    </xf>
    <xf numFmtId="164" fontId="29" fillId="0" borderId="0" xfId="1" applyFont="1" applyFill="1"/>
    <xf numFmtId="164" fontId="33" fillId="0" borderId="0" xfId="1" applyFont="1" applyFill="1"/>
    <xf numFmtId="167" fontId="29" fillId="0" borderId="0" xfId="0" applyNumberFormat="1" applyFont="1" applyFill="1"/>
    <xf numFmtId="0" fontId="29" fillId="0" borderId="0" xfId="0" applyFont="1" applyFill="1"/>
    <xf numFmtId="0" fontId="7" fillId="0" borderId="0" xfId="0" applyFont="1" applyFill="1" applyBorder="1" applyAlignment="1">
      <alignment vertical="center"/>
    </xf>
    <xf numFmtId="0" fontId="29" fillId="0" borderId="0" xfId="0" applyFont="1" applyFill="1" applyBorder="1" applyAlignment="1">
      <alignment wrapText="1"/>
    </xf>
    <xf numFmtId="0" fontId="29" fillId="0" borderId="0" xfId="0" applyFont="1" applyFill="1" applyBorder="1"/>
    <xf numFmtId="167" fontId="29" fillId="0" borderId="0" xfId="1" applyNumberFormat="1" applyFont="1" applyFill="1" applyBorder="1"/>
    <xf numFmtId="0" fontId="17" fillId="0" borderId="0" xfId="0" applyFont="1" applyFill="1" applyAlignment="1">
      <alignment vertical="center" wrapText="1"/>
    </xf>
    <xf numFmtId="167" fontId="7" fillId="0" borderId="9" xfId="1" applyNumberFormat="1" applyFont="1" applyFill="1" applyBorder="1" applyAlignment="1">
      <alignment vertical="center" wrapText="1"/>
    </xf>
    <xf numFmtId="164" fontId="8" fillId="0" borderId="12" xfId="1" applyFont="1" applyFill="1" applyBorder="1" applyAlignment="1">
      <alignment vertical="center"/>
    </xf>
    <xf numFmtId="164" fontId="8" fillId="0" borderId="8" xfId="1" applyFont="1" applyFill="1" applyBorder="1" applyAlignment="1">
      <alignment vertical="center"/>
    </xf>
    <xf numFmtId="167" fontId="29" fillId="0" borderId="5" xfId="1" applyNumberFormat="1" applyFont="1" applyFill="1" applyBorder="1" applyAlignment="1">
      <alignment vertical="center"/>
    </xf>
    <xf numFmtId="0" fontId="29" fillId="0" borderId="0" xfId="0" applyFont="1" applyFill="1" applyBorder="1" applyAlignment="1">
      <alignment vertical="center"/>
    </xf>
    <xf numFmtId="167" fontId="29" fillId="0" borderId="0" xfId="1" applyNumberFormat="1" applyFont="1" applyFill="1" applyBorder="1" applyAlignment="1">
      <alignment vertical="center"/>
    </xf>
    <xf numFmtId="167" fontId="29" fillId="0" borderId="9" xfId="1" applyNumberFormat="1" applyFont="1" applyFill="1" applyBorder="1" applyAlignment="1">
      <alignment vertical="center"/>
    </xf>
    <xf numFmtId="0" fontId="29" fillId="0" borderId="4" xfId="0" applyFont="1" applyFill="1" applyBorder="1" applyAlignment="1">
      <alignment vertical="center"/>
    </xf>
    <xf numFmtId="167" fontId="29" fillId="0" borderId="2" xfId="1" applyNumberFormat="1" applyFont="1" applyFill="1" applyBorder="1" applyAlignment="1">
      <alignment horizontal="center" vertical="center" wrapText="1"/>
    </xf>
    <xf numFmtId="167" fontId="29" fillId="0" borderId="2" xfId="1" quotePrefix="1" applyNumberFormat="1" applyFont="1" applyFill="1" applyBorder="1" applyAlignment="1">
      <alignment horizontal="center" vertical="center"/>
    </xf>
    <xf numFmtId="0" fontId="29" fillId="0" borderId="0" xfId="0" applyFont="1" applyFill="1" applyAlignment="1">
      <alignment vertical="center"/>
    </xf>
    <xf numFmtId="0" fontId="29" fillId="0" borderId="0" xfId="0" applyFont="1" applyFill="1" applyBorder="1" applyAlignment="1">
      <alignment vertical="center" wrapText="1"/>
    </xf>
    <xf numFmtId="167" fontId="29" fillId="0" borderId="7" xfId="1" applyNumberFormat="1" applyFont="1" applyFill="1" applyBorder="1" applyAlignment="1">
      <alignment vertical="center"/>
    </xf>
    <xf numFmtId="167" fontId="29" fillId="0" borderId="0" xfId="1" applyNumberFormat="1" applyFont="1" applyFill="1" applyBorder="1" applyAlignment="1">
      <alignment vertical="center" wrapText="1"/>
    </xf>
    <xf numFmtId="167" fontId="29" fillId="0" borderId="4" xfId="1" applyNumberFormat="1" applyFont="1" applyFill="1" applyBorder="1" applyAlignment="1">
      <alignment vertical="center" wrapText="1"/>
    </xf>
    <xf numFmtId="167" fontId="33" fillId="0" borderId="0" xfId="1" applyNumberFormat="1" applyFont="1" applyFill="1" applyBorder="1" applyAlignment="1">
      <alignment vertical="center" wrapText="1"/>
    </xf>
    <xf numFmtId="167" fontId="29" fillId="0" borderId="41" xfId="1" applyNumberFormat="1" applyFont="1" applyFill="1" applyBorder="1" applyAlignment="1">
      <alignment vertical="center" wrapText="1"/>
    </xf>
    <xf numFmtId="167" fontId="29" fillId="0" borderId="41" xfId="1" applyNumberFormat="1" applyFont="1" applyFill="1" applyBorder="1" applyAlignment="1">
      <alignment vertical="center"/>
    </xf>
    <xf numFmtId="167" fontId="29" fillId="0" borderId="0" xfId="1" applyNumberFormat="1" applyFont="1" applyFill="1" applyBorder="1" applyAlignment="1">
      <alignment horizontal="right" vertical="center" wrapText="1"/>
    </xf>
    <xf numFmtId="0" fontId="35" fillId="0" borderId="0" xfId="0" applyFont="1" applyFill="1" applyBorder="1" applyAlignment="1">
      <alignment vertical="center" wrapText="1"/>
    </xf>
    <xf numFmtId="167" fontId="35" fillId="0" borderId="0" xfId="1" applyNumberFormat="1" applyFont="1" applyFill="1" applyBorder="1" applyAlignment="1">
      <alignment vertical="center" wrapText="1"/>
    </xf>
    <xf numFmtId="167" fontId="35" fillId="0" borderId="0" xfId="1" applyNumberFormat="1" applyFont="1" applyFill="1" applyBorder="1" applyAlignment="1">
      <alignment horizontal="right" vertical="center" wrapText="1"/>
    </xf>
    <xf numFmtId="0" fontId="29" fillId="0" borderId="8" xfId="0" applyFont="1" applyFill="1" applyBorder="1" applyAlignment="1">
      <alignment horizontal="center" vertical="center" wrapText="1"/>
    </xf>
    <xf numFmtId="167" fontId="29" fillId="0" borderId="7" xfId="1" applyNumberFormat="1" applyFont="1" applyFill="1" applyBorder="1" applyAlignment="1">
      <alignment vertical="center" wrapText="1"/>
    </xf>
    <xf numFmtId="167" fontId="29" fillId="0" borderId="2" xfId="1" quotePrefix="1" applyNumberFormat="1" applyFont="1" applyFill="1" applyBorder="1" applyAlignment="1">
      <alignment horizontal="center" vertical="center" wrapText="1"/>
    </xf>
    <xf numFmtId="167" fontId="29" fillId="0" borderId="0" xfId="1" applyNumberFormat="1" applyFont="1" applyFill="1" applyBorder="1" applyAlignment="1">
      <alignment horizontal="center" vertical="center" wrapText="1"/>
    </xf>
    <xf numFmtId="167" fontId="29" fillId="0" borderId="4" xfId="1" applyNumberFormat="1" applyFont="1" applyFill="1" applyBorder="1" applyAlignment="1">
      <alignment horizontal="center" vertical="center" wrapText="1"/>
    </xf>
    <xf numFmtId="167" fontId="29" fillId="0" borderId="0" xfId="0" applyNumberFormat="1" applyFont="1" applyFill="1" applyBorder="1" applyAlignment="1">
      <alignment vertical="center"/>
    </xf>
    <xf numFmtId="167" fontId="29" fillId="0" borderId="2" xfId="1" quotePrefix="1" applyNumberFormat="1" applyFont="1" applyFill="1" applyBorder="1" applyAlignment="1">
      <alignment horizontal="center"/>
    </xf>
    <xf numFmtId="0" fontId="29" fillId="0" borderId="0" xfId="0" applyFont="1" applyFill="1" applyBorder="1" applyAlignment="1">
      <alignment vertical="top" wrapText="1"/>
    </xf>
    <xf numFmtId="167" fontId="29" fillId="0" borderId="0" xfId="1" applyNumberFormat="1" applyFont="1" applyFill="1" applyBorder="1" applyAlignment="1">
      <alignment vertical="top" wrapText="1"/>
    </xf>
    <xf numFmtId="0" fontId="29" fillId="0" borderId="0" xfId="0" applyFont="1" applyFill="1" applyBorder="1" applyAlignment="1"/>
    <xf numFmtId="167" fontId="29" fillId="0" borderId="0" xfId="1" applyNumberFormat="1" applyFont="1" applyFill="1" applyBorder="1" applyAlignment="1"/>
    <xf numFmtId="0" fontId="29" fillId="0" borderId="0" xfId="0" applyFont="1" applyFill="1" applyAlignment="1"/>
    <xf numFmtId="164" fontId="29" fillId="0" borderId="2" xfId="1" quotePrefix="1" applyFont="1" applyFill="1" applyBorder="1" applyAlignment="1">
      <alignment horizontal="center"/>
    </xf>
    <xf numFmtId="164" fontId="29" fillId="0" borderId="0" xfId="1" applyFont="1" applyFill="1" applyBorder="1"/>
    <xf numFmtId="164" fontId="29" fillId="0" borderId="0" xfId="1" applyFont="1" applyFill="1" applyBorder="1" applyAlignment="1">
      <alignment horizontal="center" vertical="center" wrapText="1"/>
    </xf>
    <xf numFmtId="164" fontId="29" fillId="0" borderId="2" xfId="1" applyFont="1" applyFill="1" applyBorder="1" applyAlignment="1">
      <alignment horizontal="center" vertical="center" wrapText="1"/>
    </xf>
    <xf numFmtId="15" fontId="29" fillId="0" borderId="0" xfId="0" quotePrefix="1" applyNumberFormat="1" applyFont="1" applyFill="1" applyBorder="1" applyAlignment="1">
      <alignment vertical="top" wrapText="1"/>
    </xf>
    <xf numFmtId="164" fontId="29" fillId="0" borderId="7" xfId="1" applyFont="1" applyFill="1" applyBorder="1"/>
    <xf numFmtId="0" fontId="33" fillId="0" borderId="0" xfId="0" applyFont="1" applyFill="1" applyBorder="1" applyAlignment="1">
      <alignment vertical="top" wrapText="1"/>
    </xf>
    <xf numFmtId="164" fontId="29" fillId="0" borderId="0" xfId="1" applyFont="1" applyFill="1" applyBorder="1" applyAlignment="1">
      <alignment horizontal="center"/>
    </xf>
    <xf numFmtId="168" fontId="29" fillId="0" borderId="0" xfId="1" applyNumberFormat="1" applyFont="1" applyFill="1" applyBorder="1"/>
    <xf numFmtId="164" fontId="29" fillId="0" borderId="7" xfId="1" applyFont="1" applyFill="1" applyBorder="1" applyAlignment="1">
      <alignment horizontal="justify" vertical="justify"/>
    </xf>
    <xf numFmtId="43" fontId="29" fillId="0" borderId="0" xfId="1" applyNumberFormat="1" applyFont="1" applyFill="1" applyBorder="1"/>
    <xf numFmtId="43" fontId="29" fillId="0" borderId="7" xfId="1" applyNumberFormat="1" applyFont="1" applyFill="1" applyBorder="1"/>
    <xf numFmtId="164" fontId="29" fillId="0" borderId="0" xfId="1" applyFont="1" applyFill="1" applyBorder="1" applyAlignment="1"/>
    <xf numFmtId="167" fontId="29" fillId="0" borderId="2" xfId="1" applyNumberFormat="1" applyFont="1" applyFill="1" applyBorder="1" applyAlignment="1"/>
    <xf numFmtId="167" fontId="29" fillId="0" borderId="1" xfId="1" applyNumberFormat="1" applyFont="1" applyFill="1" applyBorder="1" applyAlignment="1"/>
    <xf numFmtId="167" fontId="29" fillId="0" borderId="16" xfId="1" applyNumberFormat="1" applyFont="1" applyFill="1" applyBorder="1" applyAlignment="1">
      <alignment horizontal="center" vertical="center" wrapText="1"/>
    </xf>
    <xf numFmtId="167" fontId="29" fillId="0" borderId="1" xfId="1" applyNumberFormat="1" applyFont="1" applyFill="1" applyBorder="1" applyAlignment="1">
      <alignment horizontal="center" vertical="center"/>
    </xf>
    <xf numFmtId="167" fontId="29" fillId="0" borderId="16" xfId="1" applyNumberFormat="1" applyFont="1" applyFill="1" applyBorder="1" applyAlignment="1">
      <alignment vertical="center"/>
    </xf>
    <xf numFmtId="167" fontId="29" fillId="0" borderId="1" xfId="1" applyNumberFormat="1" applyFont="1" applyFill="1" applyBorder="1" applyAlignment="1">
      <alignment vertical="center"/>
    </xf>
    <xf numFmtId="164" fontId="29" fillId="0" borderId="0" xfId="1" applyFont="1" applyFill="1" applyBorder="1" applyAlignment="1">
      <alignment horizontal="center" vertical="center"/>
    </xf>
    <xf numFmtId="164" fontId="29" fillId="0" borderId="0" xfId="1" applyFont="1" applyFill="1" applyBorder="1" applyAlignment="1">
      <alignment vertical="center"/>
    </xf>
    <xf numFmtId="164" fontId="29" fillId="0" borderId="0" xfId="1" applyFont="1" applyFill="1" applyAlignment="1">
      <alignment vertical="center"/>
    </xf>
    <xf numFmtId="164" fontId="29" fillId="0" borderId="0" xfId="1" applyFont="1" applyFill="1" applyBorder="1" applyAlignment="1">
      <alignment vertical="center" wrapText="1"/>
    </xf>
    <xf numFmtId="164" fontId="33" fillId="0" borderId="0" xfId="1" applyFont="1" applyFill="1" applyBorder="1" applyAlignment="1">
      <alignment vertical="center" wrapText="1"/>
    </xf>
    <xf numFmtId="167" fontId="29" fillId="0" borderId="0" xfId="1" applyNumberFormat="1" applyFont="1" applyFill="1" applyAlignment="1">
      <alignment horizontal="center" vertical="center"/>
    </xf>
    <xf numFmtId="167" fontId="29" fillId="0" borderId="5" xfId="1" applyNumberFormat="1" applyFont="1" applyFill="1" applyBorder="1" applyAlignment="1"/>
    <xf numFmtId="167" fontId="29" fillId="0" borderId="3" xfId="1" applyNumberFormat="1" applyFont="1" applyFill="1" applyBorder="1" applyAlignment="1"/>
    <xf numFmtId="167" fontId="29" fillId="0" borderId="0" xfId="1" applyNumberFormat="1" applyFont="1" applyFill="1"/>
    <xf numFmtId="167" fontId="29" fillId="0" borderId="7" xfId="1" applyNumberFormat="1" applyFont="1" applyFill="1" applyBorder="1" applyAlignment="1">
      <alignment horizontal="center"/>
    </xf>
    <xf numFmtId="167" fontId="29" fillId="0" borderId="9" xfId="1" applyNumberFormat="1" applyFont="1" applyFill="1" applyBorder="1" applyAlignment="1">
      <alignment vertical="center" wrapText="1"/>
    </xf>
    <xf numFmtId="167" fontId="29" fillId="0" borderId="9" xfId="1" applyNumberFormat="1" applyFont="1" applyFill="1" applyBorder="1" applyAlignment="1">
      <alignment horizontal="center" vertical="center" wrapText="1"/>
    </xf>
    <xf numFmtId="167" fontId="29" fillId="0" borderId="4" xfId="1" applyNumberFormat="1" applyFont="1" applyFill="1" applyBorder="1" applyAlignment="1">
      <alignment horizontal="right" vertical="center" wrapText="1"/>
    </xf>
    <xf numFmtId="167" fontId="29" fillId="0" borderId="8" xfId="1" applyNumberFormat="1" applyFont="1" applyFill="1" applyBorder="1" applyAlignment="1">
      <alignment vertical="center" wrapText="1"/>
    </xf>
    <xf numFmtId="167" fontId="29" fillId="0" borderId="6" xfId="1" applyNumberFormat="1" applyFont="1" applyFill="1" applyBorder="1" applyAlignment="1">
      <alignment horizontal="right" vertical="center" wrapText="1"/>
    </xf>
    <xf numFmtId="167" fontId="29" fillId="0" borderId="15" xfId="1" applyNumberFormat="1" applyFont="1" applyFill="1" applyBorder="1" applyAlignment="1">
      <alignment horizontal="center" vertical="center" wrapText="1"/>
    </xf>
    <xf numFmtId="167" fontId="29" fillId="0" borderId="2" xfId="1" applyNumberFormat="1" applyFont="1" applyFill="1" applyBorder="1" applyAlignment="1">
      <alignment horizontal="right" vertical="center" wrapText="1"/>
    </xf>
    <xf numFmtId="164" fontId="29" fillId="0" borderId="2" xfId="1" applyNumberFormat="1" applyFont="1" applyFill="1" applyBorder="1" applyAlignment="1">
      <alignment horizontal="right" vertical="center" wrapText="1"/>
    </xf>
    <xf numFmtId="0" fontId="29" fillId="0" borderId="1" xfId="0" applyFont="1" applyFill="1" applyBorder="1" applyAlignment="1">
      <alignment horizontal="right" vertical="center" wrapText="1"/>
    </xf>
    <xf numFmtId="164" fontId="29" fillId="0" borderId="1" xfId="1" applyNumberFormat="1" applyFont="1" applyFill="1" applyBorder="1" applyAlignment="1">
      <alignment horizontal="right" vertical="center" wrapText="1"/>
    </xf>
    <xf numFmtId="167" fontId="29" fillId="0" borderId="0" xfId="1" applyNumberFormat="1" applyFont="1" applyFill="1" applyBorder="1" applyAlignment="1">
      <alignment horizontal="right" vertical="top" wrapText="1"/>
    </xf>
    <xf numFmtId="0" fontId="29" fillId="0" borderId="4" xfId="0" applyFont="1" applyFill="1" applyBorder="1" applyAlignment="1">
      <alignment vertical="top" wrapText="1"/>
    </xf>
    <xf numFmtId="167" fontId="29" fillId="0" borderId="10" xfId="1" applyNumberFormat="1" applyFont="1" applyFill="1" applyBorder="1" applyAlignment="1">
      <alignment horizontal="right" vertical="top" wrapText="1"/>
    </xf>
    <xf numFmtId="0" fontId="29" fillId="0" borderId="10" xfId="0" applyFont="1" applyFill="1" applyBorder="1" applyAlignment="1">
      <alignment vertical="top" wrapText="1"/>
    </xf>
    <xf numFmtId="167" fontId="29" fillId="0" borderId="7" xfId="1" applyNumberFormat="1" applyFont="1" applyFill="1" applyBorder="1" applyAlignment="1">
      <alignment horizontal="right" vertical="top" wrapText="1"/>
    </xf>
    <xf numFmtId="167" fontId="6" fillId="0" borderId="0" xfId="1" applyNumberFormat="1" applyFont="1" applyFill="1" applyBorder="1"/>
    <xf numFmtId="167" fontId="6" fillId="0" borderId="0" xfId="1" applyNumberFormat="1" applyFont="1" applyFill="1" applyBorder="1" applyAlignment="1">
      <alignment horizontal="center"/>
    </xf>
    <xf numFmtId="0" fontId="6" fillId="0" borderId="0" xfId="0" applyFont="1" applyFill="1" applyBorder="1" applyAlignment="1">
      <alignment horizontal="justify" vertical="center" wrapText="1"/>
    </xf>
    <xf numFmtId="164" fontId="6" fillId="0" borderId="0" xfId="1" applyFont="1" applyFill="1" applyBorder="1"/>
    <xf numFmtId="167" fontId="6" fillId="0" borderId="1" xfId="1" applyNumberFormat="1" applyFont="1" applyFill="1" applyBorder="1" applyAlignment="1">
      <alignment vertical="center"/>
    </xf>
    <xf numFmtId="167" fontId="29" fillId="0" borderId="16" xfId="1" applyNumberFormat="1" applyFont="1" applyFill="1" applyBorder="1" applyAlignment="1">
      <alignment vertical="center" wrapText="1"/>
    </xf>
    <xf numFmtId="167" fontId="6" fillId="0" borderId="1" xfId="1" applyNumberFormat="1" applyFont="1" applyFill="1" applyBorder="1" applyAlignment="1">
      <alignment horizontal="right" vertical="center" wrapText="1"/>
    </xf>
    <xf numFmtId="0" fontId="6" fillId="0" borderId="0" xfId="0" applyFont="1" applyFill="1" applyBorder="1" applyAlignment="1"/>
    <xf numFmtId="0" fontId="6" fillId="0" borderId="0" xfId="0" applyFont="1" applyFill="1" applyBorder="1" applyAlignment="1">
      <alignment horizontal="center"/>
    </xf>
    <xf numFmtId="0" fontId="6" fillId="0" borderId="0" xfId="0" applyFont="1" applyFill="1" applyBorder="1" applyAlignment="1">
      <alignment horizontal="justify" vertical="justify" wrapText="1"/>
    </xf>
    <xf numFmtId="167" fontId="6" fillId="0" borderId="0" xfId="1" applyNumberFormat="1" applyFont="1" applyFill="1" applyBorder="1" applyAlignment="1"/>
    <xf numFmtId="164" fontId="6" fillId="0" borderId="0" xfId="1" applyFont="1" applyFill="1" applyBorder="1" applyAlignment="1"/>
    <xf numFmtId="0" fontId="6" fillId="0" borderId="0" xfId="0" applyFont="1" applyFill="1" applyBorder="1" applyAlignment="1">
      <alignment wrapText="1"/>
    </xf>
    <xf numFmtId="167" fontId="29" fillId="0" borderId="0" xfId="1" applyNumberFormat="1" applyFont="1" applyFill="1" applyBorder="1" applyAlignment="1">
      <alignment horizontal="center"/>
    </xf>
    <xf numFmtId="0" fontId="29" fillId="0" borderId="19" xfId="0" applyFont="1" applyFill="1" applyBorder="1" applyAlignment="1">
      <alignment vertical="center"/>
    </xf>
    <xf numFmtId="0" fontId="6" fillId="0" borderId="0" xfId="0" applyFont="1" applyFill="1" applyBorder="1" applyAlignment="1">
      <alignment vertical="center"/>
    </xf>
    <xf numFmtId="167" fontId="29" fillId="0" borderId="71" xfId="1" quotePrefix="1" applyNumberFormat="1" applyFont="1" applyFill="1" applyBorder="1" applyAlignment="1">
      <alignment horizontal="center" vertical="center"/>
    </xf>
    <xf numFmtId="167" fontId="29" fillId="0" borderId="70" xfId="1" applyNumberFormat="1" applyFont="1" applyFill="1" applyBorder="1" applyAlignment="1">
      <alignment horizontal="center" vertical="center"/>
    </xf>
    <xf numFmtId="167" fontId="29" fillId="0" borderId="70" xfId="1" applyNumberFormat="1" applyFont="1" applyFill="1" applyBorder="1" applyAlignment="1">
      <alignment vertical="center"/>
    </xf>
    <xf numFmtId="0" fontId="29" fillId="0" borderId="69" xfId="0" applyFont="1" applyFill="1" applyBorder="1" applyAlignment="1"/>
    <xf numFmtId="167" fontId="29" fillId="0" borderId="72" xfId="1" applyNumberFormat="1" applyFont="1" applyFill="1" applyBorder="1" applyAlignment="1"/>
    <xf numFmtId="0" fontId="29" fillId="0" borderId="82" xfId="0" applyFont="1" applyFill="1" applyBorder="1" applyAlignment="1">
      <alignment horizontal="center" vertical="center"/>
    </xf>
    <xf numFmtId="0" fontId="29" fillId="0" borderId="83" xfId="0" applyFont="1" applyFill="1" applyBorder="1" applyAlignment="1">
      <alignment horizontal="center" vertical="top"/>
    </xf>
    <xf numFmtId="0" fontId="29" fillId="0" borderId="84" xfId="0" applyFont="1" applyFill="1" applyBorder="1" applyAlignment="1">
      <alignment horizontal="left" vertical="top"/>
    </xf>
    <xf numFmtId="0" fontId="29" fillId="0" borderId="84" xfId="0" applyFont="1" applyFill="1" applyBorder="1" applyAlignment="1">
      <alignment vertical="top"/>
    </xf>
    <xf numFmtId="167" fontId="29" fillId="0" borderId="73" xfId="1" applyNumberFormat="1" applyFont="1" applyFill="1" applyBorder="1" applyAlignment="1"/>
    <xf numFmtId="167" fontId="29" fillId="0" borderId="71" xfId="1" applyNumberFormat="1" applyFont="1" applyFill="1" applyBorder="1" applyAlignment="1"/>
    <xf numFmtId="167" fontId="29" fillId="0" borderId="85" xfId="1" applyNumberFormat="1" applyFont="1" applyFill="1" applyBorder="1" applyAlignment="1"/>
    <xf numFmtId="0" fontId="29" fillId="0" borderId="82" xfId="0" applyFont="1" applyFill="1" applyBorder="1" applyAlignment="1">
      <alignment vertical="top"/>
    </xf>
    <xf numFmtId="0" fontId="29" fillId="0" borderId="86" xfId="0" applyFont="1" applyFill="1" applyBorder="1" applyAlignment="1">
      <alignment vertical="top"/>
    </xf>
    <xf numFmtId="167" fontId="29" fillId="0" borderId="87" xfId="1" applyNumberFormat="1" applyFont="1" applyFill="1" applyBorder="1" applyAlignment="1"/>
    <xf numFmtId="167" fontId="29" fillId="0" borderId="88" xfId="1" applyNumberFormat="1" applyFont="1" applyFill="1" applyBorder="1" applyAlignment="1"/>
    <xf numFmtId="164" fontId="6" fillId="0" borderId="0" xfId="1" applyFont="1" applyFill="1" applyBorder="1" applyAlignment="1">
      <alignment vertical="center" wrapText="1"/>
    </xf>
    <xf numFmtId="0" fontId="29" fillId="0" borderId="69" xfId="0" applyFont="1" applyFill="1" applyBorder="1" applyAlignment="1">
      <alignment horizontal="center" vertical="center"/>
    </xf>
    <xf numFmtId="0" fontId="29" fillId="0" borderId="81" xfId="0" applyFont="1" applyFill="1" applyBorder="1" applyAlignment="1">
      <alignment horizontal="center" vertical="center"/>
    </xf>
    <xf numFmtId="0" fontId="17" fillId="0" borderId="69" xfId="0" applyFont="1" applyFill="1" applyBorder="1" applyAlignment="1">
      <alignment horizontal="center" vertical="center"/>
    </xf>
    <xf numFmtId="167" fontId="29" fillId="0" borderId="71" xfId="1" applyNumberFormat="1" applyFont="1" applyFill="1" applyBorder="1" applyAlignment="1">
      <alignment vertical="center"/>
    </xf>
    <xf numFmtId="167" fontId="29" fillId="0" borderId="80" xfId="1" applyNumberFormat="1" applyFont="1" applyFill="1" applyBorder="1" applyAlignment="1">
      <alignment vertical="center"/>
    </xf>
    <xf numFmtId="0" fontId="29" fillId="0" borderId="69" xfId="0" applyFont="1" applyFill="1" applyBorder="1" applyAlignment="1">
      <alignment horizontal="center" vertical="center" wrapText="1"/>
    </xf>
    <xf numFmtId="167" fontId="29" fillId="0" borderId="70" xfId="1" applyNumberFormat="1" applyFont="1" applyFill="1" applyBorder="1" applyAlignment="1">
      <alignment vertical="center" wrapText="1"/>
    </xf>
    <xf numFmtId="167" fontId="29" fillId="0" borderId="90" xfId="1" applyNumberFormat="1" applyFont="1" applyFill="1" applyBorder="1" applyAlignment="1">
      <alignment vertical="center"/>
    </xf>
    <xf numFmtId="167" fontId="29" fillId="0" borderId="90" xfId="1" applyNumberFormat="1" applyFont="1" applyFill="1" applyBorder="1" applyAlignment="1">
      <alignment vertical="center" wrapText="1"/>
    </xf>
    <xf numFmtId="167" fontId="29" fillId="0" borderId="80" xfId="1" applyNumberFormat="1" applyFont="1" applyFill="1" applyBorder="1" applyAlignment="1">
      <alignment vertical="center" wrapText="1"/>
    </xf>
    <xf numFmtId="167" fontId="29" fillId="0" borderId="71" xfId="1" quotePrefix="1" applyNumberFormat="1" applyFont="1" applyFill="1" applyBorder="1" applyAlignment="1">
      <alignment horizontal="center" vertical="center" wrapText="1"/>
    </xf>
    <xf numFmtId="167" fontId="29" fillId="0" borderId="70" xfId="1" applyNumberFormat="1" applyFont="1" applyFill="1" applyBorder="1" applyAlignment="1">
      <alignment horizontal="center" vertical="center" wrapText="1"/>
    </xf>
    <xf numFmtId="167" fontId="29" fillId="0" borderId="70" xfId="0" applyNumberFormat="1" applyFont="1" applyFill="1" applyBorder="1" applyAlignment="1">
      <alignment vertical="center"/>
    </xf>
    <xf numFmtId="0" fontId="17" fillId="0" borderId="69" xfId="0" applyFont="1" applyFill="1" applyBorder="1" applyAlignment="1">
      <alignment horizontal="justify" vertical="center" wrapText="1"/>
    </xf>
    <xf numFmtId="0" fontId="17" fillId="0" borderId="81" xfId="0" applyFont="1" applyFill="1" applyBorder="1" applyAlignment="1">
      <alignment horizontal="center" vertical="center"/>
    </xf>
    <xf numFmtId="0" fontId="17" fillId="0" borderId="76" xfId="0" applyFont="1" applyFill="1" applyBorder="1" applyAlignment="1">
      <alignment horizontal="center" vertical="center" wrapText="1"/>
    </xf>
    <xf numFmtId="0" fontId="17" fillId="0" borderId="69" xfId="3" quotePrefix="1" applyFont="1" applyFill="1" applyBorder="1" applyAlignment="1">
      <alignment horizontal="right" vertical="center"/>
    </xf>
    <xf numFmtId="168" fontId="17" fillId="0" borderId="77" xfId="1" applyNumberFormat="1" applyFont="1" applyFill="1" applyBorder="1" applyAlignment="1">
      <alignment horizontal="center" vertical="center"/>
    </xf>
    <xf numFmtId="0" fontId="29" fillId="0" borderId="0" xfId="0" applyFont="1" applyFill="1" applyAlignment="1">
      <alignment horizontal="center"/>
    </xf>
    <xf numFmtId="0" fontId="29" fillId="0" borderId="2" xfId="0" applyFont="1" applyFill="1" applyBorder="1" applyAlignment="1">
      <alignment horizontal="center" vertical="center"/>
    </xf>
    <xf numFmtId="167" fontId="6" fillId="0" borderId="16" xfId="1" applyNumberFormat="1" applyFont="1" applyFill="1" applyBorder="1" applyAlignment="1">
      <alignment vertical="center" wrapText="1"/>
    </xf>
    <xf numFmtId="0" fontId="6" fillId="0" borderId="16" xfId="0" applyFont="1" applyFill="1" applyBorder="1" applyAlignment="1">
      <alignment vertical="center" wrapText="1"/>
    </xf>
    <xf numFmtId="167" fontId="29" fillId="0" borderId="23" xfId="1" quotePrefix="1" applyNumberFormat="1" applyFont="1" applyFill="1" applyBorder="1" applyAlignment="1">
      <alignment horizontal="center" vertical="center"/>
    </xf>
    <xf numFmtId="0" fontId="29" fillId="0" borderId="18" xfId="0" applyFont="1" applyFill="1" applyBorder="1" applyAlignment="1">
      <alignment vertical="center"/>
    </xf>
    <xf numFmtId="167" fontId="29" fillId="0" borderId="64" xfId="1" applyNumberFormat="1" applyFont="1" applyFill="1" applyBorder="1" applyAlignment="1">
      <alignment vertical="center"/>
    </xf>
    <xf numFmtId="0" fontId="33" fillId="0" borderId="18" xfId="0" applyFont="1" applyFill="1" applyBorder="1" applyAlignment="1">
      <alignment vertical="center"/>
    </xf>
    <xf numFmtId="167" fontId="29" fillId="0" borderId="19" xfId="1" applyNumberFormat="1" applyFont="1" applyFill="1" applyBorder="1" applyAlignment="1">
      <alignment vertical="center"/>
    </xf>
    <xf numFmtId="0" fontId="6" fillId="0" borderId="18" xfId="0" applyFont="1" applyFill="1" applyBorder="1" applyAlignment="1">
      <alignment vertical="center"/>
    </xf>
    <xf numFmtId="167" fontId="29" fillId="0" borderId="2" xfId="1" applyNumberFormat="1" applyFont="1" applyFill="1" applyBorder="1" applyAlignment="1">
      <alignment horizontal="center" vertical="top" wrapText="1"/>
    </xf>
    <xf numFmtId="167" fontId="29" fillId="0" borderId="7" xfId="1" applyNumberFormat="1" applyFont="1" applyFill="1" applyBorder="1" applyAlignment="1">
      <alignment vertical="top" wrapText="1"/>
    </xf>
    <xf numFmtId="0" fontId="29" fillId="0" borderId="19" xfId="0" applyFont="1" applyFill="1" applyBorder="1" applyAlignment="1"/>
    <xf numFmtId="0" fontId="29" fillId="0" borderId="18" xfId="0" applyFont="1" applyFill="1" applyBorder="1" applyAlignment="1">
      <alignment horizontal="justify" vertical="justify"/>
    </xf>
    <xf numFmtId="0" fontId="29" fillId="0" borderId="75" xfId="0" applyFont="1" applyFill="1" applyBorder="1" applyAlignment="1">
      <alignment horizontal="center" vertical="center" wrapText="1"/>
    </xf>
    <xf numFmtId="167" fontId="29" fillId="0" borderId="11" xfId="1" applyNumberFormat="1" applyFont="1" applyFill="1" applyBorder="1" applyAlignment="1">
      <alignment vertical="center"/>
    </xf>
    <xf numFmtId="167" fontId="29" fillId="0" borderId="11" xfId="1" quotePrefix="1" applyNumberFormat="1" applyFont="1" applyFill="1" applyBorder="1" applyAlignment="1">
      <alignment horizontal="center" vertical="center"/>
    </xf>
    <xf numFmtId="167" fontId="29" fillId="0" borderId="11" xfId="1" quotePrefix="1" applyNumberFormat="1" applyFont="1" applyFill="1" applyBorder="1" applyAlignment="1">
      <alignment horizontal="center" vertical="center" wrapText="1"/>
    </xf>
    <xf numFmtId="0" fontId="33" fillId="0" borderId="0" xfId="0" applyFont="1" applyFill="1" applyBorder="1" applyAlignment="1">
      <alignment vertical="center"/>
    </xf>
    <xf numFmtId="0" fontId="29" fillId="0" borderId="97" xfId="0" applyFont="1" applyFill="1" applyBorder="1" applyAlignment="1">
      <alignment horizontal="center" vertical="center"/>
    </xf>
    <xf numFmtId="0" fontId="29" fillId="0" borderId="96" xfId="0" applyFont="1" applyFill="1" applyBorder="1" applyAlignment="1">
      <alignment horizontal="center" vertical="center"/>
    </xf>
    <xf numFmtId="0" fontId="29" fillId="0" borderId="18" xfId="0" applyFont="1" applyFill="1" applyBorder="1" applyAlignment="1">
      <alignment horizontal="justify" vertical="center" wrapText="1"/>
    </xf>
    <xf numFmtId="0" fontId="29" fillId="0" borderId="97" xfId="0" applyFont="1" applyFill="1" applyBorder="1" applyAlignment="1">
      <alignment horizontal="center" vertical="center" wrapText="1"/>
    </xf>
    <xf numFmtId="0" fontId="29" fillId="0" borderId="96" xfId="0" applyFont="1" applyFill="1" applyBorder="1" applyAlignment="1">
      <alignment horizontal="center" vertical="center" wrapText="1"/>
    </xf>
    <xf numFmtId="0" fontId="29" fillId="0" borderId="21" xfId="0" applyFont="1" applyFill="1" applyBorder="1" applyAlignment="1">
      <alignment horizontal="center" vertical="center"/>
    </xf>
    <xf numFmtId="167" fontId="29" fillId="0" borderId="7" xfId="1" applyNumberFormat="1" applyFont="1" applyFill="1" applyBorder="1" applyAlignment="1">
      <alignment horizontal="right" vertical="center" wrapText="1"/>
    </xf>
    <xf numFmtId="167" fontId="29" fillId="0" borderId="0" xfId="1" applyNumberFormat="1" applyFont="1" applyFill="1" applyBorder="1" applyAlignment="1">
      <alignment horizontal="right" vertical="center"/>
    </xf>
    <xf numFmtId="167" fontId="29" fillId="0" borderId="1" xfId="1" applyNumberFormat="1" applyFont="1" applyFill="1" applyBorder="1" applyAlignment="1">
      <alignment vertical="center" wrapText="1"/>
    </xf>
    <xf numFmtId="167" fontId="17" fillId="0" borderId="7" xfId="1" applyNumberFormat="1" applyFont="1" applyFill="1" applyBorder="1" applyAlignment="1">
      <alignment horizontal="right" vertical="center"/>
    </xf>
    <xf numFmtId="0" fontId="17" fillId="0" borderId="7" xfId="3" applyFont="1" applyFill="1" applyBorder="1" applyAlignment="1">
      <alignment horizontal="justify" vertical="center" wrapText="1"/>
    </xf>
    <xf numFmtId="0" fontId="17" fillId="0" borderId="7" xfId="3" applyFont="1" applyFill="1" applyBorder="1" applyAlignment="1">
      <alignment horizontal="left" vertical="center" wrapText="1"/>
    </xf>
    <xf numFmtId="0" fontId="17" fillId="0" borderId="16" xfId="3" applyFont="1" applyFill="1" applyBorder="1" applyAlignment="1">
      <alignment horizontal="justify" vertical="center" wrapText="1"/>
    </xf>
    <xf numFmtId="0" fontId="17" fillId="0" borderId="0" xfId="3" applyFont="1" applyFill="1" applyBorder="1" applyAlignment="1">
      <alignment horizontal="center" vertical="center"/>
    </xf>
    <xf numFmtId="0" fontId="29" fillId="0" borderId="68" xfId="0" applyFont="1" applyFill="1" applyBorder="1" applyAlignment="1">
      <alignment horizontal="center" vertical="center"/>
    </xf>
    <xf numFmtId="0" fontId="29" fillId="0" borderId="70" xfId="0" quotePrefix="1" applyFont="1" applyFill="1" applyBorder="1" applyAlignment="1">
      <alignment horizontal="center" vertical="center"/>
    </xf>
    <xf numFmtId="167" fontId="29" fillId="0" borderId="0" xfId="1" quotePrefix="1" applyNumberFormat="1" applyFont="1" applyFill="1" applyBorder="1" applyAlignment="1">
      <alignment horizontal="center"/>
    </xf>
    <xf numFmtId="0" fontId="29" fillId="0" borderId="0" xfId="0" applyFont="1" applyFill="1" applyBorder="1" applyAlignment="1">
      <alignment horizontal="left"/>
    </xf>
    <xf numFmtId="0" fontId="17" fillId="0" borderId="12"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17" fillId="0" borderId="69" xfId="3" quotePrefix="1" applyFont="1" applyFill="1" applyBorder="1" applyAlignment="1">
      <alignment horizontal="center" vertical="center"/>
    </xf>
    <xf numFmtId="0" fontId="17" fillId="0" borderId="0" xfId="3" quotePrefix="1" applyFont="1" applyFill="1" applyBorder="1" applyAlignment="1">
      <alignment horizontal="center" vertical="center"/>
    </xf>
    <xf numFmtId="167" fontId="17" fillId="0" borderId="5" xfId="1" applyNumberFormat="1" applyFont="1" applyFill="1" applyBorder="1" applyAlignment="1">
      <alignment horizontal="right" vertical="center" wrapText="1"/>
    </xf>
    <xf numFmtId="0" fontId="29" fillId="0" borderId="16"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0" xfId="6" applyFont="1" applyFill="1" applyAlignment="1">
      <alignment horizontal="center" vertical="center"/>
    </xf>
    <xf numFmtId="164" fontId="16" fillId="0" borderId="38" xfId="1" applyFont="1" applyFill="1" applyBorder="1" applyAlignment="1">
      <alignment vertical="center"/>
    </xf>
    <xf numFmtId="164" fontId="16" fillId="0" borderId="39" xfId="1" applyFont="1" applyFill="1" applyBorder="1" applyAlignment="1">
      <alignment vertical="center"/>
    </xf>
    <xf numFmtId="164" fontId="6" fillId="0" borderId="0" xfId="1" applyFont="1" applyFill="1" applyAlignment="1">
      <alignment vertical="center"/>
    </xf>
    <xf numFmtId="0" fontId="6" fillId="0" borderId="0" xfId="0" applyFont="1" applyFill="1" applyAlignment="1">
      <alignment vertical="center"/>
    </xf>
    <xf numFmtId="0" fontId="6" fillId="0" borderId="5" xfId="0" applyFont="1" applyFill="1" applyBorder="1" applyAlignment="1">
      <alignment vertical="center"/>
    </xf>
    <xf numFmtId="167" fontId="6" fillId="0" borderId="5" xfId="1" applyNumberFormat="1" applyFont="1" applyFill="1" applyBorder="1" applyAlignment="1">
      <alignment vertical="center"/>
    </xf>
    <xf numFmtId="164" fontId="6" fillId="0" borderId="0" xfId="1" applyFont="1" applyFill="1" applyBorder="1" applyAlignment="1">
      <alignment vertical="center"/>
    </xf>
    <xf numFmtId="167" fontId="6" fillId="0" borderId="0" xfId="1" applyNumberFormat="1" applyFont="1" applyFill="1" applyBorder="1" applyAlignment="1">
      <alignment vertical="center"/>
    </xf>
    <xf numFmtId="0" fontId="6" fillId="0" borderId="16" xfId="0" applyFont="1" applyFill="1" applyBorder="1" applyAlignment="1">
      <alignment vertical="center"/>
    </xf>
    <xf numFmtId="167" fontId="6" fillId="0" borderId="16" xfId="1" applyNumberFormat="1" applyFont="1" applyFill="1" applyBorder="1" applyAlignment="1">
      <alignment vertical="center"/>
    </xf>
    <xf numFmtId="0" fontId="6" fillId="0" borderId="0" xfId="0" quotePrefix="1" applyFont="1" applyFill="1" applyBorder="1" applyAlignment="1">
      <alignment vertical="center"/>
    </xf>
    <xf numFmtId="0" fontId="6" fillId="0" borderId="13" xfId="0" applyFont="1" applyFill="1" applyBorder="1" applyAlignment="1">
      <alignment vertical="center"/>
    </xf>
    <xf numFmtId="167" fontId="6" fillId="0" borderId="13" xfId="1" applyNumberFormat="1" applyFont="1" applyFill="1" applyBorder="1" applyAlignment="1">
      <alignment vertical="center"/>
    </xf>
    <xf numFmtId="164" fontId="6" fillId="0" borderId="13" xfId="1" applyFont="1" applyFill="1" applyBorder="1" applyAlignment="1">
      <alignment vertical="center"/>
    </xf>
    <xf numFmtId="167" fontId="6" fillId="0" borderId="1" xfId="1" applyNumberFormat="1" applyFont="1" applyFill="1" applyBorder="1" applyAlignment="1">
      <alignment horizontal="left" vertical="center"/>
    </xf>
    <xf numFmtId="167" fontId="6" fillId="0" borderId="0" xfId="1" applyNumberFormat="1" applyFont="1" applyFill="1" applyBorder="1" applyAlignment="1">
      <alignment vertical="center" wrapText="1"/>
    </xf>
    <xf numFmtId="0" fontId="6" fillId="0" borderId="15" xfId="0" applyFont="1" applyFill="1" applyBorder="1" applyAlignment="1">
      <alignment vertical="center" wrapText="1"/>
    </xf>
    <xf numFmtId="167" fontId="6" fillId="0" borderId="15" xfId="1" applyNumberFormat="1" applyFont="1" applyFill="1" applyBorder="1" applyAlignment="1">
      <alignment vertical="center" wrapText="1"/>
    </xf>
    <xf numFmtId="167" fontId="6" fillId="0" borderId="0" xfId="1" applyNumberFormat="1" applyFont="1" applyFill="1" applyBorder="1" applyAlignment="1">
      <alignment horizontal="justify" vertical="center" wrapText="1"/>
    </xf>
    <xf numFmtId="164" fontId="6" fillId="0" borderId="0" xfId="1" applyFont="1" applyFill="1" applyBorder="1" applyAlignment="1">
      <alignment horizontal="justify" vertical="center" wrapText="1"/>
    </xf>
    <xf numFmtId="167" fontId="6" fillId="0" borderId="0" xfId="1" applyNumberFormat="1" applyFont="1" applyFill="1" applyBorder="1" applyAlignment="1">
      <alignment horizontal="justify" vertical="justify" wrapText="1"/>
    </xf>
    <xf numFmtId="167" fontId="6" fillId="0" borderId="1" xfId="1" applyNumberFormat="1" applyFont="1" applyFill="1" applyBorder="1" applyAlignment="1">
      <alignment vertical="center" wrapText="1"/>
    </xf>
    <xf numFmtId="164" fontId="6" fillId="0" borderId="0" xfId="1" applyFont="1" applyFill="1" applyBorder="1" applyAlignment="1">
      <alignment horizontal="left" vertical="center" wrapText="1"/>
    </xf>
    <xf numFmtId="167" fontId="6" fillId="0" borderId="2" xfId="1" applyNumberFormat="1" applyFont="1" applyFill="1" applyBorder="1" applyAlignment="1">
      <alignment vertical="center"/>
    </xf>
    <xf numFmtId="167" fontId="6" fillId="0" borderId="0" xfId="1" applyNumberFormat="1" applyFont="1" applyFill="1" applyAlignment="1">
      <alignment vertical="center"/>
    </xf>
    <xf numFmtId="0" fontId="6" fillId="0" borderId="0" xfId="0" applyFont="1" applyFill="1" applyBorder="1" applyAlignment="1">
      <alignment horizontal="center" vertical="center"/>
    </xf>
    <xf numFmtId="0" fontId="6" fillId="0" borderId="19" xfId="0" applyFont="1" applyFill="1" applyBorder="1" applyAlignment="1">
      <alignment horizontal="center" vertical="center"/>
    </xf>
    <xf numFmtId="167" fontId="6" fillId="0" borderId="92" xfId="1" applyNumberFormat="1" applyFont="1" applyFill="1" applyBorder="1" applyAlignment="1">
      <alignment vertical="center"/>
    </xf>
    <xf numFmtId="167" fontId="6" fillId="0" borderId="15" xfId="1" applyNumberFormat="1" applyFont="1" applyFill="1" applyBorder="1" applyAlignment="1">
      <alignment vertical="center"/>
    </xf>
    <xf numFmtId="167" fontId="6" fillId="0" borderId="93" xfId="1" applyNumberFormat="1" applyFont="1" applyFill="1" applyBorder="1" applyAlignment="1">
      <alignment vertical="center"/>
    </xf>
    <xf numFmtId="0" fontId="6" fillId="0" borderId="15" xfId="0" applyFont="1" applyFill="1" applyBorder="1" applyAlignment="1">
      <alignment horizontal="center" vertical="center"/>
    </xf>
    <xf numFmtId="167" fontId="6" fillId="0" borderId="94" xfId="1" applyNumberFormat="1" applyFont="1" applyFill="1" applyBorder="1" applyAlignment="1">
      <alignment vertical="center"/>
    </xf>
    <xf numFmtId="167" fontId="6" fillId="0" borderId="0" xfId="1" applyNumberFormat="1" applyFont="1" applyFill="1" applyBorder="1" applyAlignment="1">
      <alignment horizontal="center" vertical="center"/>
    </xf>
    <xf numFmtId="167" fontId="6" fillId="0" borderId="94" xfId="1" applyNumberFormat="1" applyFont="1" applyFill="1" applyBorder="1" applyAlignment="1">
      <alignment horizontal="center" vertical="center"/>
    </xf>
    <xf numFmtId="18" fontId="6" fillId="0" borderId="0" xfId="0" quotePrefix="1" applyNumberFormat="1" applyFont="1" applyFill="1" applyBorder="1" applyAlignment="1">
      <alignment horizontal="center" vertical="center"/>
    </xf>
    <xf numFmtId="0" fontId="6" fillId="0" borderId="0" xfId="0" quotePrefix="1" applyFont="1" applyFill="1" applyBorder="1" applyAlignment="1">
      <alignment horizontal="center" vertical="center"/>
    </xf>
    <xf numFmtId="167" fontId="6" fillId="0" borderId="0" xfId="1" quotePrefix="1" applyNumberFormat="1" applyFont="1" applyFill="1" applyBorder="1" applyAlignment="1">
      <alignment horizontal="center" vertical="center"/>
    </xf>
    <xf numFmtId="0" fontId="6" fillId="0" borderId="92" xfId="0" applyFont="1" applyFill="1" applyBorder="1" applyAlignment="1">
      <alignment horizontal="center" vertical="center"/>
    </xf>
    <xf numFmtId="167" fontId="6" fillId="0" borderId="93" xfId="1" applyNumberFormat="1" applyFont="1" applyFill="1" applyBorder="1" applyAlignment="1">
      <alignment horizontal="center" vertical="center"/>
    </xf>
    <xf numFmtId="167" fontId="6" fillId="0" borderId="0" xfId="0" applyNumberFormat="1" applyFont="1" applyFill="1" applyBorder="1" applyAlignment="1">
      <alignment horizontal="center" vertical="center"/>
    </xf>
    <xf numFmtId="0" fontId="6" fillId="0" borderId="1" xfId="0" applyFont="1" applyFill="1" applyBorder="1" applyAlignment="1">
      <alignment horizontal="center" vertical="center"/>
    </xf>
    <xf numFmtId="167" fontId="6" fillId="0" borderId="92" xfId="1" applyNumberFormat="1" applyFont="1" applyFill="1" applyBorder="1" applyAlignment="1">
      <alignment horizontal="center" vertical="center"/>
    </xf>
    <xf numFmtId="0" fontId="6" fillId="0" borderId="21" xfId="0" applyFont="1" applyFill="1" applyBorder="1" applyAlignment="1">
      <alignment vertical="center"/>
    </xf>
    <xf numFmtId="0" fontId="6" fillId="0" borderId="25" xfId="0" applyFont="1" applyFill="1" applyBorder="1" applyAlignment="1">
      <alignment horizontal="center" vertical="center"/>
    </xf>
    <xf numFmtId="0" fontId="6" fillId="0" borderId="22" xfId="0" applyFont="1" applyFill="1" applyBorder="1" applyAlignment="1">
      <alignment horizontal="center" vertical="center"/>
    </xf>
    <xf numFmtId="167" fontId="29" fillId="0" borderId="19" xfId="1" applyNumberFormat="1" applyFont="1" applyFill="1" applyBorder="1" applyAlignment="1">
      <alignment horizontal="center" vertical="center"/>
    </xf>
    <xf numFmtId="167" fontId="29" fillId="0" borderId="19" xfId="0" applyNumberFormat="1" applyFont="1" applyFill="1" applyBorder="1" applyAlignment="1">
      <alignment horizontal="center" vertical="center"/>
    </xf>
    <xf numFmtId="167" fontId="29" fillId="0" borderId="0" xfId="0" applyNumberFormat="1" applyFont="1" applyFill="1" applyBorder="1" applyAlignment="1">
      <alignment horizontal="center" vertical="center"/>
    </xf>
    <xf numFmtId="167" fontId="6" fillId="0" borderId="16" xfId="1" applyNumberFormat="1" applyFont="1" applyFill="1" applyBorder="1" applyAlignment="1">
      <alignment horizontal="center" vertical="center"/>
    </xf>
    <xf numFmtId="167" fontId="6" fillId="0" borderId="1" xfId="1" applyNumberFormat="1" applyFont="1" applyFill="1" applyBorder="1" applyAlignment="1">
      <alignment horizontal="center" vertical="center"/>
    </xf>
    <xf numFmtId="167" fontId="6" fillId="0" borderId="1" xfId="1" quotePrefix="1" applyNumberFormat="1" applyFont="1" applyFill="1" applyBorder="1" applyAlignment="1">
      <alignment horizontal="center" vertical="center"/>
    </xf>
    <xf numFmtId="0" fontId="29" fillId="0" borderId="1" xfId="0" applyFont="1" applyFill="1" applyBorder="1" applyAlignment="1">
      <alignment vertical="top" wrapText="1"/>
    </xf>
    <xf numFmtId="167" fontId="29" fillId="0" borderId="45" xfId="1" quotePrefix="1" applyNumberFormat="1" applyFont="1" applyFill="1" applyBorder="1" applyAlignment="1">
      <alignment horizontal="center" vertical="top" wrapText="1"/>
    </xf>
    <xf numFmtId="0" fontId="6" fillId="0" borderId="0" xfId="0" applyFont="1" applyFill="1"/>
    <xf numFmtId="0" fontId="6" fillId="0" borderId="0" xfId="0" applyFont="1" applyFill="1" applyAlignment="1"/>
    <xf numFmtId="0" fontId="29" fillId="0" borderId="39" xfId="0" applyFont="1" applyFill="1" applyBorder="1" applyAlignment="1">
      <alignment vertical="center" wrapText="1"/>
    </xf>
    <xf numFmtId="167" fontId="29" fillId="0" borderId="39" xfId="1" applyNumberFormat="1" applyFont="1" applyFill="1" applyBorder="1" applyAlignment="1">
      <alignment vertical="center"/>
    </xf>
    <xf numFmtId="0" fontId="17" fillId="0" borderId="18" xfId="0" applyFont="1" applyFill="1" applyBorder="1" applyAlignment="1">
      <alignment horizontal="center" vertical="center"/>
    </xf>
    <xf numFmtId="164" fontId="37" fillId="0" borderId="0" xfId="1" applyFont="1" applyFill="1" applyBorder="1"/>
    <xf numFmtId="0" fontId="6" fillId="0" borderId="0" xfId="0" applyFont="1" applyFill="1" applyBorder="1"/>
    <xf numFmtId="0" fontId="6" fillId="0" borderId="0" xfId="0" applyFont="1" applyFill="1" applyBorder="1" applyAlignment="1">
      <alignment horizontal="left"/>
    </xf>
    <xf numFmtId="0" fontId="29" fillId="0" borderId="0" xfId="0" applyFont="1" applyFill="1" applyBorder="1" applyAlignment="1">
      <alignment vertical="top"/>
    </xf>
    <xf numFmtId="0" fontId="29" fillId="0" borderId="0" xfId="0" applyFont="1" applyFill="1" applyBorder="1" applyAlignment="1">
      <alignment horizontal="center" vertical="top"/>
    </xf>
    <xf numFmtId="0" fontId="29" fillId="0" borderId="0" xfId="0" applyFont="1" applyFill="1" applyBorder="1" applyAlignment="1">
      <alignment horizontal="left" vertical="top"/>
    </xf>
    <xf numFmtId="167" fontId="29" fillId="0" borderId="0" xfId="1" applyNumberFormat="1" applyFont="1" applyFill="1" applyBorder="1" applyAlignment="1">
      <alignment horizontal="center" vertical="top"/>
    </xf>
    <xf numFmtId="0" fontId="6" fillId="0" borderId="0" xfId="0" applyFont="1" applyFill="1" applyBorder="1" applyAlignment="1">
      <alignment horizontal="center" vertical="top"/>
    </xf>
    <xf numFmtId="10" fontId="6" fillId="0" borderId="0" xfId="5" applyNumberFormat="1" applyFont="1" applyFill="1" applyBorder="1" applyAlignment="1">
      <alignment vertical="top"/>
    </xf>
    <xf numFmtId="0" fontId="6" fillId="0" borderId="0" xfId="0" applyFont="1" applyFill="1" applyBorder="1" applyAlignment="1">
      <alignment horizontal="left" vertical="top"/>
    </xf>
    <xf numFmtId="14" fontId="6" fillId="0" borderId="0" xfId="0" applyNumberFormat="1" applyFont="1" applyFill="1" applyBorder="1" applyAlignment="1">
      <alignment horizontal="center" vertical="top"/>
    </xf>
    <xf numFmtId="167" fontId="6" fillId="0" borderId="0" xfId="1" applyNumberFormat="1" applyFont="1" applyFill="1" applyBorder="1" applyAlignment="1">
      <alignment horizontal="right" vertical="top"/>
    </xf>
    <xf numFmtId="0" fontId="6" fillId="0" borderId="0" xfId="0" applyFont="1" applyFill="1" applyBorder="1" applyAlignment="1">
      <alignment horizontal="right"/>
    </xf>
    <xf numFmtId="170" fontId="6" fillId="0" borderId="0" xfId="0" applyNumberFormat="1" applyFont="1" applyFill="1" applyBorder="1"/>
    <xf numFmtId="164" fontId="6" fillId="0" borderId="0" xfId="1" applyFont="1" applyFill="1" applyBorder="1" applyAlignment="1">
      <alignment vertical="top"/>
    </xf>
    <xf numFmtId="171" fontId="6" fillId="0" borderId="0" xfId="1" applyNumberFormat="1" applyFont="1" applyFill="1" applyBorder="1" applyAlignment="1">
      <alignment horizontal="right" vertical="top"/>
    </xf>
    <xf numFmtId="171" fontId="6" fillId="0" borderId="0" xfId="1" applyNumberFormat="1" applyFont="1" applyFill="1" applyBorder="1" applyAlignment="1">
      <alignment vertical="top"/>
    </xf>
    <xf numFmtId="164" fontId="6" fillId="0" borderId="0" xfId="1" applyFont="1" applyFill="1" applyBorder="1" applyAlignment="1">
      <alignment horizontal="right" vertical="top"/>
    </xf>
    <xf numFmtId="167" fontId="29" fillId="0" borderId="0" xfId="1" applyNumberFormat="1" applyFont="1" applyFill="1" applyBorder="1" applyAlignment="1">
      <alignment horizontal="right" vertical="top"/>
    </xf>
    <xf numFmtId="167" fontId="29" fillId="0" borderId="7" xfId="1" applyNumberFormat="1" applyFont="1" applyFill="1" applyBorder="1" applyAlignment="1">
      <alignment horizontal="right" vertical="top"/>
    </xf>
    <xf numFmtId="0" fontId="6" fillId="0" borderId="18" xfId="0" applyFont="1" applyFill="1" applyBorder="1"/>
    <xf numFmtId="0" fontId="6" fillId="0" borderId="19" xfId="0" applyFont="1" applyFill="1" applyBorder="1"/>
    <xf numFmtId="0" fontId="29" fillId="0" borderId="18" xfId="0" applyFont="1" applyFill="1" applyBorder="1" applyAlignment="1">
      <alignment vertical="top"/>
    </xf>
    <xf numFmtId="0" fontId="29" fillId="0" borderId="18" xfId="0" applyFont="1" applyFill="1" applyBorder="1" applyAlignment="1">
      <alignment horizontal="left" vertical="top"/>
    </xf>
    <xf numFmtId="0" fontId="6" fillId="0" borderId="19" xfId="0" applyFont="1" applyFill="1" applyBorder="1" applyAlignment="1"/>
    <xf numFmtId="0" fontId="6" fillId="0" borderId="21" xfId="0" applyFont="1" applyFill="1" applyBorder="1" applyAlignment="1">
      <alignment vertical="top" wrapText="1"/>
    </xf>
    <xf numFmtId="0" fontId="6" fillId="0" borderId="25" xfId="0" applyFont="1" applyFill="1" applyBorder="1" applyAlignment="1">
      <alignment vertical="top" wrapText="1"/>
    </xf>
    <xf numFmtId="167" fontId="6" fillId="0" borderId="25" xfId="1" applyNumberFormat="1" applyFont="1" applyFill="1" applyBorder="1" applyAlignment="1">
      <alignment vertical="top" wrapText="1"/>
    </xf>
    <xf numFmtId="164" fontId="6" fillId="0" borderId="25" xfId="1" applyFont="1" applyFill="1" applyBorder="1"/>
    <xf numFmtId="0" fontId="6" fillId="0" borderId="25" xfId="0" applyFont="1" applyFill="1" applyBorder="1"/>
    <xf numFmtId="0" fontId="6" fillId="0" borderId="22" xfId="0" applyFont="1" applyFill="1" applyBorder="1"/>
    <xf numFmtId="167" fontId="6" fillId="0" borderId="0" xfId="0" applyNumberFormat="1" applyFont="1" applyFill="1" applyBorder="1" applyAlignment="1">
      <alignment vertical="center" wrapText="1"/>
    </xf>
    <xf numFmtId="0" fontId="29" fillId="0" borderId="97" xfId="0" applyFont="1" applyFill="1" applyBorder="1" applyAlignment="1">
      <alignment horizontal="center"/>
    </xf>
    <xf numFmtId="0" fontId="29" fillId="0" borderId="96" xfId="0" applyFont="1" applyFill="1" applyBorder="1" applyAlignment="1">
      <alignment horizontal="center"/>
    </xf>
    <xf numFmtId="0" fontId="29" fillId="0" borderId="44" xfId="0" quotePrefix="1" applyFont="1" applyFill="1" applyBorder="1" applyAlignment="1">
      <alignment horizontal="center"/>
    </xf>
    <xf numFmtId="0" fontId="29" fillId="0" borderId="45" xfId="0" applyFont="1" applyFill="1" applyBorder="1"/>
    <xf numFmtId="0" fontId="29" fillId="0" borderId="19" xfId="0" applyFont="1" applyFill="1" applyBorder="1"/>
    <xf numFmtId="0" fontId="29" fillId="0" borderId="21" xfId="0" applyFont="1" applyFill="1" applyBorder="1" applyAlignment="1">
      <alignment horizontal="center"/>
    </xf>
    <xf numFmtId="0" fontId="6" fillId="0" borderId="18" xfId="0" applyFont="1" applyFill="1" applyBorder="1" applyAlignment="1">
      <alignment horizontal="left" vertical="center"/>
    </xf>
    <xf numFmtId="0" fontId="6" fillId="0" borderId="5" xfId="0" applyFont="1" applyFill="1" applyBorder="1"/>
    <xf numFmtId="0" fontId="6" fillId="0" borderId="0" xfId="0" applyFont="1" applyFill="1" applyAlignment="1">
      <alignment wrapText="1"/>
    </xf>
    <xf numFmtId="0" fontId="6" fillId="0" borderId="5" xfId="0" applyFont="1" applyFill="1" applyBorder="1" applyAlignment="1"/>
    <xf numFmtId="167" fontId="6" fillId="0" borderId="7" xfId="1" applyNumberFormat="1" applyFont="1" applyFill="1" applyBorder="1" applyAlignment="1">
      <alignment vertical="center" wrapText="1"/>
    </xf>
    <xf numFmtId="0" fontId="29" fillId="0" borderId="19" xfId="0" applyFont="1" applyFill="1" applyBorder="1" applyAlignment="1">
      <alignment horizontal="left"/>
    </xf>
    <xf numFmtId="167" fontId="6" fillId="0" borderId="0" xfId="0" applyNumberFormat="1" applyFont="1" applyFill="1" applyBorder="1" applyAlignment="1"/>
    <xf numFmtId="0" fontId="6" fillId="0" borderId="0" xfId="0" applyFont="1" applyFill="1" applyBorder="1" applyAlignment="1">
      <alignment horizontal="right" vertical="top" wrapText="1"/>
    </xf>
    <xf numFmtId="167" fontId="6" fillId="0" borderId="0" xfId="1" applyNumberFormat="1" applyFont="1" applyFill="1" applyBorder="1" applyAlignment="1">
      <alignment vertical="top" wrapText="1"/>
    </xf>
    <xf numFmtId="0" fontId="6" fillId="0" borderId="45" xfId="0" applyFont="1" applyFill="1" applyBorder="1"/>
    <xf numFmtId="0" fontId="6" fillId="0" borderId="27" xfId="0" applyFont="1" applyFill="1" applyBorder="1"/>
    <xf numFmtId="0" fontId="29" fillId="0" borderId="25" xfId="0" applyFont="1" applyFill="1" applyBorder="1" applyAlignment="1">
      <alignment vertical="top"/>
    </xf>
    <xf numFmtId="167" fontId="29" fillId="0" borderId="25" xfId="1" applyNumberFormat="1" applyFont="1" applyFill="1" applyBorder="1" applyAlignment="1">
      <alignment horizontal="right" vertical="top"/>
    </xf>
    <xf numFmtId="0" fontId="6" fillId="0" borderId="25" xfId="0" applyFont="1" applyFill="1" applyBorder="1" applyAlignment="1"/>
    <xf numFmtId="0" fontId="6" fillId="0" borderId="22" xfId="0" applyFont="1" applyFill="1" applyBorder="1" applyAlignment="1"/>
    <xf numFmtId="0" fontId="6" fillId="0" borderId="2" xfId="0" applyFont="1" applyFill="1" applyBorder="1" applyAlignment="1">
      <alignment horizontal="center" vertical="top"/>
    </xf>
    <xf numFmtId="167" fontId="6" fillId="0" borderId="2" xfId="1" applyNumberFormat="1" applyFont="1" applyFill="1" applyBorder="1" applyAlignment="1">
      <alignment horizontal="right" vertical="top"/>
    </xf>
    <xf numFmtId="164" fontId="6" fillId="0" borderId="2" xfId="1" applyFont="1" applyFill="1" applyBorder="1" applyAlignment="1"/>
    <xf numFmtId="0" fontId="6" fillId="0" borderId="2" xfId="0" applyFont="1" applyFill="1" applyBorder="1" applyAlignment="1"/>
    <xf numFmtId="0" fontId="29" fillId="0" borderId="26" xfId="0" applyFont="1" applyFill="1" applyBorder="1" applyAlignment="1">
      <alignment horizontal="left" vertical="top" wrapText="1"/>
    </xf>
    <xf numFmtId="167" fontId="29" fillId="0" borderId="26" xfId="1" applyNumberFormat="1" applyFont="1" applyFill="1" applyBorder="1" applyAlignment="1">
      <alignment horizontal="center" vertical="top" wrapText="1"/>
    </xf>
    <xf numFmtId="0" fontId="6" fillId="0" borderId="23" xfId="0" applyFont="1" applyFill="1" applyBorder="1" applyAlignment="1"/>
    <xf numFmtId="0" fontId="6" fillId="0" borderId="2" xfId="0" applyFont="1" applyFill="1" applyBorder="1" applyAlignment="1">
      <alignment vertical="top"/>
    </xf>
    <xf numFmtId="0" fontId="6" fillId="0" borderId="2" xfId="0" applyFont="1" applyFill="1" applyBorder="1" applyAlignment="1">
      <alignment horizontal="right" vertical="top"/>
    </xf>
    <xf numFmtId="0" fontId="6" fillId="0" borderId="102" xfId="0" applyFont="1" applyFill="1" applyBorder="1" applyAlignment="1">
      <alignment vertical="top"/>
    </xf>
    <xf numFmtId="0" fontId="29" fillId="0" borderId="21" xfId="0" applyFont="1" applyFill="1" applyBorder="1" applyAlignment="1">
      <alignment horizontal="justify" vertical="top"/>
    </xf>
    <xf numFmtId="0" fontId="29" fillId="0" borderId="25" xfId="0" applyFont="1" applyFill="1" applyBorder="1" applyAlignment="1">
      <alignment horizontal="justify" vertical="top"/>
    </xf>
    <xf numFmtId="0" fontId="6" fillId="0" borderId="7" xfId="0" applyFont="1" applyFill="1" applyBorder="1" applyAlignment="1"/>
    <xf numFmtId="0" fontId="6" fillId="0" borderId="20" xfId="0" applyFont="1" applyFill="1" applyBorder="1" applyAlignment="1"/>
    <xf numFmtId="0" fontId="17" fillId="0" borderId="14" xfId="11" applyFont="1" applyFill="1" applyBorder="1" applyAlignment="1">
      <alignment horizontal="left" wrapText="1"/>
    </xf>
    <xf numFmtId="0" fontId="29" fillId="0" borderId="104" xfId="0" applyFont="1" applyFill="1" applyBorder="1" applyAlignment="1">
      <alignment vertical="center" wrapText="1"/>
    </xf>
    <xf numFmtId="0" fontId="29" fillId="0" borderId="105" xfId="0" applyFont="1" applyFill="1" applyBorder="1" applyAlignment="1">
      <alignment vertical="center" wrapText="1"/>
    </xf>
    <xf numFmtId="0" fontId="17" fillId="0" borderId="104" xfId="11" applyFont="1" applyFill="1" applyBorder="1"/>
    <xf numFmtId="0" fontId="20" fillId="0" borderId="104" xfId="11" applyFont="1" applyFill="1" applyBorder="1"/>
    <xf numFmtId="0" fontId="17" fillId="0" borderId="105" xfId="11" applyFont="1" applyFill="1" applyBorder="1"/>
    <xf numFmtId="0" fontId="17" fillId="0" borderId="18" xfId="11" applyFont="1" applyFill="1" applyBorder="1" applyAlignment="1">
      <alignment wrapText="1"/>
    </xf>
    <xf numFmtId="0" fontId="17" fillId="0" borderId="96" xfId="11" applyFont="1" applyFill="1" applyBorder="1" applyAlignment="1">
      <alignment horizontal="left" wrapText="1"/>
    </xf>
    <xf numFmtId="0" fontId="19" fillId="0" borderId="18" xfId="11" applyFont="1" applyFill="1" applyBorder="1"/>
    <xf numFmtId="0" fontId="17" fillId="0" borderId="18" xfId="11" applyFont="1" applyFill="1" applyBorder="1"/>
    <xf numFmtId="0" fontId="29" fillId="0" borderId="94" xfId="0" applyFont="1" applyFill="1" applyBorder="1" applyAlignment="1">
      <alignment horizontal="center" vertical="center" wrapText="1"/>
    </xf>
    <xf numFmtId="0" fontId="29" fillId="0" borderId="93" xfId="0" applyFont="1" applyFill="1" applyBorder="1" applyAlignment="1">
      <alignment vertical="center" wrapText="1"/>
    </xf>
    <xf numFmtId="0" fontId="29" fillId="0" borderId="93" xfId="0" applyFont="1" applyFill="1" applyBorder="1" applyAlignment="1">
      <alignment horizontal="left" vertical="center" wrapText="1"/>
    </xf>
    <xf numFmtId="0" fontId="29" fillId="0" borderId="94" xfId="0" applyFont="1" applyFill="1" applyBorder="1" applyAlignment="1">
      <alignment vertical="center" wrapText="1"/>
    </xf>
    <xf numFmtId="0" fontId="29" fillId="0" borderId="92" xfId="0" applyFont="1" applyFill="1" applyBorder="1" applyAlignment="1">
      <alignment vertical="center" wrapText="1"/>
    </xf>
    <xf numFmtId="0" fontId="29" fillId="0" borderId="108" xfId="0" applyFont="1" applyFill="1" applyBorder="1" applyAlignment="1">
      <alignment vertical="center" wrapText="1"/>
    </xf>
    <xf numFmtId="167" fontId="29" fillId="0" borderId="109" xfId="1" applyNumberFormat="1" applyFont="1" applyFill="1" applyBorder="1" applyAlignment="1">
      <alignment horizontal="right" vertical="center" wrapText="1"/>
    </xf>
    <xf numFmtId="164" fontId="29" fillId="0" borderId="109" xfId="1" applyNumberFormat="1" applyFont="1" applyFill="1" applyBorder="1" applyAlignment="1">
      <alignment horizontal="right" vertical="center" wrapText="1"/>
    </xf>
    <xf numFmtId="0" fontId="29" fillId="0" borderId="110" xfId="0" applyFont="1" applyFill="1" applyBorder="1" applyAlignment="1">
      <alignment vertical="center" wrapText="1"/>
    </xf>
    <xf numFmtId="4" fontId="6" fillId="0" borderId="0" xfId="0" applyNumberFormat="1" applyFont="1" applyFill="1" applyBorder="1"/>
    <xf numFmtId="4" fontId="6" fillId="0" borderId="51" xfId="0" applyNumberFormat="1" applyFont="1" applyFill="1" applyBorder="1"/>
    <xf numFmtId="4" fontId="6" fillId="0" borderId="49" xfId="0" applyNumberFormat="1" applyFont="1" applyFill="1" applyBorder="1"/>
    <xf numFmtId="4" fontId="29" fillId="0" borderId="0" xfId="0" applyNumberFormat="1" applyFont="1" applyFill="1" applyBorder="1"/>
    <xf numFmtId="164" fontId="6" fillId="0" borderId="0" xfId="1" applyFont="1" applyFill="1" applyBorder="1" applyAlignment="1">
      <alignment horizontal="right" vertical="center" wrapText="1"/>
    </xf>
    <xf numFmtId="167" fontId="29" fillId="0" borderId="15" xfId="1" applyNumberFormat="1" applyFont="1" applyFill="1" applyBorder="1" applyAlignment="1">
      <alignment horizontal="right" vertical="center" wrapText="1"/>
    </xf>
    <xf numFmtId="0" fontId="6" fillId="0" borderId="12" xfId="0" applyFont="1" applyFill="1" applyBorder="1"/>
    <xf numFmtId="0" fontId="6" fillId="0" borderId="13" xfId="0" applyFont="1" applyFill="1" applyBorder="1" applyAlignment="1">
      <alignment horizontal="center" vertical="top"/>
    </xf>
    <xf numFmtId="10" fontId="6" fillId="0" borderId="13" xfId="5" applyNumberFormat="1" applyFont="1" applyFill="1" applyBorder="1" applyAlignment="1">
      <alignment vertical="top"/>
    </xf>
    <xf numFmtId="0" fontId="6" fillId="0" borderId="13" xfId="0" applyFont="1" applyFill="1" applyBorder="1" applyAlignment="1">
      <alignment horizontal="right"/>
    </xf>
    <xf numFmtId="0" fontId="6" fillId="0" borderId="13" xfId="0" applyFont="1" applyFill="1" applyBorder="1"/>
    <xf numFmtId="170" fontId="6" fillId="0" borderId="13" xfId="0" applyNumberFormat="1" applyFont="1" applyFill="1" applyBorder="1"/>
    <xf numFmtId="167" fontId="6" fillId="0" borderId="13" xfId="1" applyNumberFormat="1" applyFont="1" applyFill="1" applyBorder="1" applyAlignment="1">
      <alignment horizontal="right" vertical="top"/>
    </xf>
    <xf numFmtId="164" fontId="6" fillId="0" borderId="13" xfId="1" applyFont="1" applyFill="1" applyBorder="1" applyAlignment="1">
      <alignment vertical="top"/>
    </xf>
    <xf numFmtId="171" fontId="6" fillId="0" borderId="13" xfId="1" applyNumberFormat="1" applyFont="1" applyFill="1" applyBorder="1" applyAlignment="1">
      <alignment horizontal="right" vertical="top"/>
    </xf>
    <xf numFmtId="164" fontId="6" fillId="0" borderId="13" xfId="1" applyFont="1" applyFill="1" applyBorder="1" applyAlignment="1"/>
    <xf numFmtId="0" fontId="6" fillId="0" borderId="13" xfId="0" applyFont="1" applyFill="1" applyBorder="1" applyAlignment="1"/>
    <xf numFmtId="0" fontId="6" fillId="0" borderId="9" xfId="0" applyFont="1" applyFill="1" applyBorder="1"/>
    <xf numFmtId="0" fontId="6" fillId="0" borderId="8" xfId="0" applyFont="1" applyFill="1" applyBorder="1"/>
    <xf numFmtId="0" fontId="6" fillId="0" borderId="5" xfId="0" applyFont="1" applyFill="1" applyBorder="1" applyAlignment="1">
      <alignment horizontal="center" vertical="top"/>
    </xf>
    <xf numFmtId="10" fontId="6" fillId="0" borderId="5" xfId="5" applyNumberFormat="1" applyFont="1" applyFill="1" applyBorder="1" applyAlignment="1">
      <alignment vertical="top"/>
    </xf>
    <xf numFmtId="0" fontId="6" fillId="0" borderId="5" xfId="0" applyFont="1" applyFill="1" applyBorder="1" applyAlignment="1">
      <alignment horizontal="right"/>
    </xf>
    <xf numFmtId="170" fontId="6" fillId="0" borderId="5" xfId="0" applyNumberFormat="1" applyFont="1" applyFill="1" applyBorder="1"/>
    <xf numFmtId="167" fontId="6" fillId="0" borderId="5" xfId="1" applyNumberFormat="1" applyFont="1" applyFill="1" applyBorder="1" applyAlignment="1">
      <alignment horizontal="right" vertical="top"/>
    </xf>
    <xf numFmtId="171" fontId="6" fillId="0" borderId="5" xfId="1" applyNumberFormat="1" applyFont="1" applyFill="1" applyBorder="1" applyAlignment="1">
      <alignment vertical="top"/>
    </xf>
    <xf numFmtId="171" fontId="6" fillId="0" borderId="5" xfId="1" applyNumberFormat="1" applyFont="1" applyFill="1" applyBorder="1" applyAlignment="1">
      <alignment horizontal="right" vertical="top"/>
    </xf>
    <xf numFmtId="164" fontId="6" fillId="0" borderId="5" xfId="1" applyFont="1" applyFill="1" applyBorder="1" applyAlignment="1"/>
    <xf numFmtId="0" fontId="6" fillId="0" borderId="6" xfId="0" applyFont="1" applyFill="1" applyBorder="1" applyAlignment="1"/>
    <xf numFmtId="0" fontId="6" fillId="0" borderId="12" xfId="0" applyFont="1" applyFill="1" applyBorder="1" applyAlignment="1"/>
    <xf numFmtId="0" fontId="6" fillId="0" borderId="14" xfId="0" applyFont="1" applyFill="1" applyBorder="1" applyAlignment="1"/>
    <xf numFmtId="0" fontId="6" fillId="0" borderId="9" xfId="0" applyFont="1" applyFill="1" applyBorder="1" applyAlignment="1"/>
    <xf numFmtId="0" fontId="6" fillId="0" borderId="4" xfId="0" applyFont="1" applyFill="1" applyBorder="1" applyAlignment="1"/>
    <xf numFmtId="0" fontId="6" fillId="0" borderId="8" xfId="0" applyFont="1" applyFill="1" applyBorder="1" applyAlignment="1"/>
    <xf numFmtId="0" fontId="29" fillId="0" borderId="18" xfId="0" applyFont="1" applyFill="1" applyBorder="1"/>
    <xf numFmtId="0" fontId="29" fillId="0" borderId="63" xfId="0" applyFont="1" applyFill="1" applyBorder="1" applyAlignment="1">
      <alignment vertical="center" wrapText="1"/>
    </xf>
    <xf numFmtId="167" fontId="29" fillId="0" borderId="63" xfId="1" applyNumberFormat="1" applyFont="1" applyFill="1" applyBorder="1" applyAlignment="1">
      <alignment vertical="center"/>
    </xf>
    <xf numFmtId="167" fontId="29" fillId="0" borderId="13" xfId="1" applyNumberFormat="1" applyFont="1" applyFill="1" applyBorder="1" applyAlignment="1">
      <alignment horizontal="center" vertical="center" wrapText="1"/>
    </xf>
    <xf numFmtId="167" fontId="29" fillId="0" borderId="4" xfId="1" applyNumberFormat="1" applyFont="1" applyFill="1" applyBorder="1" applyAlignment="1">
      <alignment horizontal="center" vertical="center"/>
    </xf>
    <xf numFmtId="0" fontId="29" fillId="0" borderId="53" xfId="0" applyFont="1" applyFill="1" applyBorder="1" applyAlignment="1">
      <alignment horizontal="center" vertical="center"/>
    </xf>
    <xf numFmtId="167" fontId="29" fillId="0" borderId="40" xfId="1" applyNumberFormat="1" applyFont="1" applyFill="1" applyBorder="1" applyAlignment="1">
      <alignment horizontal="center" vertical="center" wrapText="1"/>
    </xf>
    <xf numFmtId="167" fontId="29" fillId="0" borderId="54" xfId="1" applyNumberFormat="1" applyFont="1" applyFill="1" applyBorder="1" applyAlignment="1">
      <alignment horizontal="center" vertical="center" wrapText="1"/>
    </xf>
    <xf numFmtId="0" fontId="29" fillId="0" borderId="55" xfId="0" applyFont="1" applyFill="1" applyBorder="1" applyAlignment="1">
      <alignment horizontal="center" vertical="center"/>
    </xf>
    <xf numFmtId="167" fontId="29" fillId="0" borderId="56" xfId="1" applyNumberFormat="1" applyFont="1" applyFill="1" applyBorder="1" applyAlignment="1">
      <alignment horizontal="center" vertical="center"/>
    </xf>
    <xf numFmtId="0" fontId="29" fillId="0" borderId="57" xfId="0" applyFont="1" applyFill="1" applyBorder="1" applyAlignment="1">
      <alignment vertical="center" wrapText="1"/>
    </xf>
    <xf numFmtId="0" fontId="6" fillId="0" borderId="27" xfId="0" applyFont="1" applyFill="1" applyBorder="1" applyAlignment="1">
      <alignment vertical="center"/>
    </xf>
    <xf numFmtId="0" fontId="6" fillId="0" borderId="19" xfId="0" applyFont="1" applyFill="1" applyBorder="1" applyAlignment="1">
      <alignment vertical="center"/>
    </xf>
    <xf numFmtId="167" fontId="6" fillId="0" borderId="41" xfId="1" applyNumberFormat="1" applyFont="1" applyFill="1" applyBorder="1" applyAlignment="1">
      <alignment vertical="center"/>
    </xf>
    <xf numFmtId="167" fontId="6" fillId="0" borderId="58" xfId="1" applyNumberFormat="1" applyFont="1" applyFill="1" applyBorder="1" applyAlignment="1">
      <alignment vertical="center"/>
    </xf>
    <xf numFmtId="0" fontId="6" fillId="0" borderId="15" xfId="0" applyFont="1" applyFill="1" applyBorder="1" applyAlignment="1">
      <alignment horizontal="left" vertical="center" wrapText="1"/>
    </xf>
    <xf numFmtId="0" fontId="6" fillId="0" borderId="2" xfId="0" applyFont="1" applyFill="1" applyBorder="1" applyAlignment="1">
      <alignment vertical="center" wrapText="1"/>
    </xf>
    <xf numFmtId="167" fontId="6" fillId="0" borderId="39" xfId="1" applyNumberFormat="1" applyFont="1" applyFill="1" applyBorder="1" applyAlignment="1">
      <alignment vertical="center"/>
    </xf>
    <xf numFmtId="173" fontId="7" fillId="0" borderId="0" xfId="1" applyNumberFormat="1" applyFont="1" applyFill="1" applyBorder="1"/>
    <xf numFmtId="165" fontId="7" fillId="0" borderId="0" xfId="1" applyNumberFormat="1" applyFont="1" applyFill="1" applyBorder="1"/>
    <xf numFmtId="0" fontId="7" fillId="0" borderId="19" xfId="0" applyFont="1" applyFill="1" applyBorder="1"/>
    <xf numFmtId="0" fontId="7" fillId="0" borderId="0" xfId="0" applyFont="1" applyFill="1"/>
    <xf numFmtId="0" fontId="7" fillId="0" borderId="0" xfId="0" applyFont="1" applyFill="1" applyBorder="1" applyAlignment="1">
      <alignment wrapText="1"/>
    </xf>
    <xf numFmtId="167" fontId="6" fillId="0" borderId="0" xfId="1" applyNumberFormat="1" applyFont="1" applyFill="1"/>
    <xf numFmtId="0" fontId="6" fillId="0" borderId="0" xfId="0" applyFont="1" applyFill="1" applyAlignment="1">
      <alignment horizontal="center"/>
    </xf>
    <xf numFmtId="164" fontId="6" fillId="0" borderId="0" xfId="1" applyFont="1" applyFill="1"/>
    <xf numFmtId="167" fontId="6" fillId="0" borderId="0" xfId="1" applyNumberFormat="1" applyFont="1" applyFill="1" applyBorder="1" applyAlignment="1">
      <alignment horizontal="right" vertical="center" wrapText="1"/>
    </xf>
    <xf numFmtId="167" fontId="6" fillId="0" borderId="1" xfId="1" applyNumberFormat="1" applyFont="1" applyFill="1" applyBorder="1" applyAlignment="1"/>
    <xf numFmtId="167" fontId="6" fillId="0" borderId="73" xfId="1" applyNumberFormat="1" applyFont="1" applyFill="1" applyBorder="1" applyAlignment="1"/>
    <xf numFmtId="167" fontId="6" fillId="0" borderId="84" xfId="1" applyNumberFormat="1" applyFont="1" applyFill="1" applyBorder="1" applyAlignment="1">
      <alignment horizontal="left" vertical="center" wrapText="1"/>
    </xf>
    <xf numFmtId="0" fontId="6" fillId="0" borderId="84" xfId="0" applyFont="1" applyFill="1" applyBorder="1" applyAlignment="1">
      <alignment vertical="top"/>
    </xf>
    <xf numFmtId="171" fontId="6" fillId="0" borderId="84" xfId="0" applyNumberFormat="1" applyFont="1" applyFill="1" applyBorder="1" applyAlignment="1">
      <alignment vertical="top"/>
    </xf>
    <xf numFmtId="171" fontId="6" fillId="0" borderId="84" xfId="0" applyNumberFormat="1" applyFont="1" applyFill="1" applyBorder="1" applyAlignment="1">
      <alignment vertical="top" wrapText="1"/>
    </xf>
    <xf numFmtId="0" fontId="6" fillId="0" borderId="69" xfId="0" applyFont="1" applyFill="1" applyBorder="1" applyAlignment="1"/>
    <xf numFmtId="167" fontId="6" fillId="0" borderId="70" xfId="1" applyNumberFormat="1" applyFont="1" applyFill="1" applyBorder="1" applyAlignment="1"/>
    <xf numFmtId="167" fontId="6" fillId="0" borderId="16" xfId="1" applyNumberFormat="1" applyFont="1" applyFill="1" applyBorder="1" applyAlignment="1"/>
    <xf numFmtId="167" fontId="6" fillId="0" borderId="75" xfId="1" applyNumberFormat="1" applyFont="1" applyFill="1" applyBorder="1" applyAlignment="1"/>
    <xf numFmtId="0" fontId="6" fillId="0" borderId="69" xfId="0" applyFont="1" applyFill="1" applyBorder="1" applyAlignment="1">
      <alignment horizontal="left" vertical="center"/>
    </xf>
    <xf numFmtId="167" fontId="6" fillId="0" borderId="70" xfId="1" applyNumberFormat="1" applyFont="1" applyFill="1" applyBorder="1" applyAlignment="1">
      <alignment horizontal="left" vertical="center"/>
    </xf>
    <xf numFmtId="0" fontId="6" fillId="0" borderId="69" xfId="0" applyFont="1" applyFill="1" applyBorder="1" applyAlignment="1">
      <alignment vertical="center" wrapText="1"/>
    </xf>
    <xf numFmtId="167" fontId="6" fillId="0" borderId="70" xfId="1" applyNumberFormat="1" applyFont="1" applyFill="1" applyBorder="1" applyAlignment="1">
      <alignment vertical="center" wrapText="1"/>
    </xf>
    <xf numFmtId="166" fontId="29" fillId="0" borderId="13" xfId="0" applyNumberFormat="1" applyFont="1" applyFill="1" applyBorder="1" applyAlignment="1"/>
    <xf numFmtId="166" fontId="29" fillId="0" borderId="13" xfId="0" applyNumberFormat="1" applyFont="1" applyFill="1" applyBorder="1" applyAlignment="1">
      <alignment horizontal="center" vertical="center"/>
    </xf>
    <xf numFmtId="166" fontId="29" fillId="0" borderId="14" xfId="0" applyNumberFormat="1" applyFont="1" applyFill="1" applyBorder="1" applyAlignment="1">
      <alignment horizontal="center" vertical="center"/>
    </xf>
    <xf numFmtId="0" fontId="6" fillId="0" borderId="14" xfId="0" applyFont="1" applyFill="1" applyBorder="1" applyAlignment="1">
      <alignment vertical="center"/>
    </xf>
    <xf numFmtId="166" fontId="29" fillId="0" borderId="0" xfId="0" applyNumberFormat="1" applyFont="1" applyFill="1" applyBorder="1" applyAlignment="1"/>
    <xf numFmtId="166" fontId="29" fillId="0" borderId="4" xfId="0" applyNumberFormat="1" applyFont="1" applyFill="1" applyBorder="1" applyAlignment="1">
      <alignment horizontal="center" vertical="center"/>
    </xf>
    <xf numFmtId="0" fontId="6" fillId="0" borderId="4" xfId="0" applyFont="1" applyFill="1" applyBorder="1" applyAlignment="1">
      <alignment vertical="center"/>
    </xf>
    <xf numFmtId="166" fontId="29" fillId="0" borderId="0" xfId="0" quotePrefix="1" applyNumberFormat="1" applyFont="1" applyFill="1" applyBorder="1" applyAlignment="1"/>
    <xf numFmtId="166" fontId="29" fillId="0" borderId="4" xfId="0" quotePrefix="1" applyNumberFormat="1" applyFont="1" applyFill="1" applyBorder="1" applyAlignment="1">
      <alignment horizontal="center" vertical="center"/>
    </xf>
    <xf numFmtId="167" fontId="6" fillId="0" borderId="19" xfId="1" applyNumberFormat="1" applyFont="1" applyFill="1" applyBorder="1" applyAlignment="1">
      <alignment horizontal="center" vertical="center"/>
    </xf>
    <xf numFmtId="167" fontId="6" fillId="0" borderId="0" xfId="0" applyNumberFormat="1" applyFont="1" applyFill="1" applyBorder="1" applyAlignment="1">
      <alignment vertical="center"/>
    </xf>
    <xf numFmtId="167" fontId="6" fillId="0" borderId="4" xfId="1" applyNumberFormat="1" applyFont="1" applyFill="1" applyBorder="1" applyAlignment="1">
      <alignment vertical="center"/>
    </xf>
    <xf numFmtId="0" fontId="29" fillId="0" borderId="9" xfId="0" applyFont="1" applyFill="1" applyBorder="1" applyAlignment="1"/>
    <xf numFmtId="167" fontId="29" fillId="0" borderId="4" xfId="0" applyNumberFormat="1" applyFont="1" applyFill="1" applyBorder="1" applyAlignment="1">
      <alignment horizontal="center" vertical="center"/>
    </xf>
    <xf numFmtId="167" fontId="29" fillId="0" borderId="4" xfId="1" applyNumberFormat="1" applyFont="1" applyFill="1" applyBorder="1" applyAlignment="1">
      <alignment vertical="center"/>
    </xf>
    <xf numFmtId="167" fontId="6" fillId="0" borderId="16" xfId="1" applyNumberFormat="1" applyFont="1" applyFill="1" applyBorder="1" applyAlignment="1">
      <alignment horizontal="right" vertical="center" wrapText="1"/>
    </xf>
    <xf numFmtId="167" fontId="6" fillId="0" borderId="92" xfId="1" applyNumberFormat="1" applyFont="1" applyFill="1" applyBorder="1" applyAlignment="1">
      <alignment horizontal="right" vertical="center" wrapText="1"/>
    </xf>
    <xf numFmtId="167" fontId="6" fillId="0" borderId="15" xfId="1" applyNumberFormat="1" applyFont="1" applyFill="1" applyBorder="1" applyAlignment="1">
      <alignment horizontal="right" vertical="center" wrapText="1"/>
    </xf>
    <xf numFmtId="167" fontId="29" fillId="0" borderId="93" xfId="1" applyNumberFormat="1" applyFont="1" applyFill="1" applyBorder="1" applyAlignment="1">
      <alignment horizontal="right" vertical="center" wrapText="1"/>
    </xf>
    <xf numFmtId="167" fontId="29" fillId="0" borderId="0" xfId="0" applyNumberFormat="1" applyFont="1" applyFill="1" applyBorder="1" applyAlignment="1">
      <alignment vertical="center" wrapText="1"/>
    </xf>
    <xf numFmtId="167" fontId="29" fillId="0" borderId="19" xfId="1" applyNumberFormat="1" applyFont="1" applyFill="1" applyBorder="1" applyAlignment="1">
      <alignment horizontal="right" vertical="center" wrapText="1"/>
    </xf>
    <xf numFmtId="167" fontId="6" fillId="0" borderId="94" xfId="1" applyNumberFormat="1" applyFont="1" applyFill="1" applyBorder="1" applyAlignment="1">
      <alignment horizontal="right" vertical="center" wrapText="1"/>
    </xf>
    <xf numFmtId="167" fontId="6" fillId="0" borderId="93" xfId="1" applyNumberFormat="1" applyFont="1" applyFill="1" applyBorder="1" applyAlignment="1">
      <alignment horizontal="right" vertical="center" wrapText="1"/>
    </xf>
    <xf numFmtId="167" fontId="29" fillId="0" borderId="92" xfId="1" applyNumberFormat="1" applyFont="1" applyFill="1" applyBorder="1" applyAlignment="1">
      <alignment horizontal="right" vertical="center" wrapText="1"/>
    </xf>
    <xf numFmtId="167" fontId="29" fillId="0" borderId="95" xfId="1" applyNumberFormat="1" applyFont="1" applyFill="1" applyBorder="1" applyAlignment="1">
      <alignment horizontal="right" vertical="center" wrapText="1"/>
    </xf>
    <xf numFmtId="167" fontId="29" fillId="0" borderId="59" xfId="1" applyNumberFormat="1" applyFont="1" applyFill="1" applyBorder="1" applyAlignment="1">
      <alignment horizontal="right" vertical="center" wrapText="1"/>
    </xf>
    <xf numFmtId="0" fontId="29" fillId="0" borderId="18" xfId="0" applyFont="1" applyFill="1" applyBorder="1" applyAlignment="1">
      <alignment horizontal="left" vertical="center"/>
    </xf>
    <xf numFmtId="167" fontId="6" fillId="0" borderId="4" xfId="1" applyNumberFormat="1" applyFont="1" applyFill="1" applyBorder="1" applyAlignment="1">
      <alignment vertical="center" wrapText="1"/>
    </xf>
    <xf numFmtId="167" fontId="29" fillId="0" borderId="23" xfId="1" applyNumberFormat="1" applyFont="1" applyFill="1" applyBorder="1" applyAlignment="1">
      <alignment horizontal="right" vertical="center" wrapText="1"/>
    </xf>
    <xf numFmtId="167" fontId="6" fillId="0" borderId="23" xfId="1" applyNumberFormat="1" applyFont="1" applyFill="1" applyBorder="1" applyAlignment="1">
      <alignment horizontal="center" vertical="center"/>
    </xf>
    <xf numFmtId="167" fontId="6" fillId="0" borderId="2" xfId="1" applyNumberFormat="1" applyFont="1" applyFill="1" applyBorder="1" applyAlignment="1">
      <alignment horizontal="right" vertical="center" wrapText="1"/>
    </xf>
    <xf numFmtId="167" fontId="29" fillId="0" borderId="20" xfId="1" applyNumberFormat="1" applyFont="1" applyFill="1" applyBorder="1" applyAlignment="1">
      <alignment horizontal="center" vertical="center"/>
    </xf>
    <xf numFmtId="167" fontId="29" fillId="0" borderId="16" xfId="1" applyNumberFormat="1" applyFont="1" applyFill="1" applyBorder="1" applyAlignment="1">
      <alignment horizontal="right" vertical="center" wrapText="1"/>
    </xf>
    <xf numFmtId="167" fontId="6" fillId="0" borderId="22" xfId="1" applyNumberFormat="1" applyFont="1" applyFill="1" applyBorder="1" applyAlignment="1">
      <alignment horizontal="center" vertical="center"/>
    </xf>
    <xf numFmtId="167" fontId="6" fillId="0" borderId="5" xfId="0" applyNumberFormat="1" applyFont="1" applyFill="1" applyBorder="1" applyAlignment="1">
      <alignment vertical="center"/>
    </xf>
    <xf numFmtId="167" fontId="6" fillId="0" borderId="6" xfId="1" applyNumberFormat="1" applyFont="1" applyFill="1" applyBorder="1" applyAlignment="1">
      <alignment vertical="center"/>
    </xf>
    <xf numFmtId="0" fontId="6" fillId="0" borderId="6" xfId="0" applyFont="1" applyFill="1" applyBorder="1" applyAlignment="1">
      <alignment vertical="center"/>
    </xf>
    <xf numFmtId="0" fontId="7" fillId="0" borderId="0" xfId="0" applyFont="1" applyFill="1" applyProtection="1"/>
    <xf numFmtId="0" fontId="17" fillId="0" borderId="0" xfId="0" applyFont="1" applyFill="1" applyAlignment="1" applyProtection="1">
      <alignment horizontal="right"/>
    </xf>
    <xf numFmtId="0" fontId="7" fillId="0" borderId="31" xfId="0" applyFont="1" applyFill="1" applyBorder="1" applyProtection="1"/>
    <xf numFmtId="0" fontId="7" fillId="0" borderId="32" xfId="0" applyFont="1" applyFill="1" applyBorder="1" applyProtection="1"/>
    <xf numFmtId="0" fontId="7" fillId="0" borderId="33" xfId="0" applyFont="1" applyFill="1" applyBorder="1" applyProtection="1"/>
    <xf numFmtId="0" fontId="7" fillId="0" borderId="34" xfId="0" applyFont="1" applyFill="1" applyBorder="1" applyProtection="1"/>
    <xf numFmtId="0" fontId="7" fillId="0" borderId="35" xfId="0" applyFont="1" applyFill="1" applyBorder="1" applyProtection="1"/>
    <xf numFmtId="0" fontId="7" fillId="0" borderId="36" xfId="0" applyFont="1" applyFill="1" applyBorder="1" applyProtection="1"/>
    <xf numFmtId="0" fontId="20" fillId="0" borderId="0" xfId="0" applyFont="1" applyFill="1" applyProtection="1"/>
    <xf numFmtId="0" fontId="7" fillId="0" borderId="53" xfId="0" applyFont="1" applyFill="1" applyBorder="1" applyAlignment="1">
      <alignment vertical="center"/>
    </xf>
    <xf numFmtId="0" fontId="7" fillId="0" borderId="40" xfId="0" applyFont="1" applyFill="1" applyBorder="1" applyAlignment="1">
      <alignment vertical="center"/>
    </xf>
    <xf numFmtId="0" fontId="7" fillId="0" borderId="54" xfId="0" applyFont="1" applyFill="1" applyBorder="1" applyAlignment="1">
      <alignment vertical="center"/>
    </xf>
    <xf numFmtId="0" fontId="7" fillId="0" borderId="0" xfId="0" applyFont="1" applyFill="1" applyAlignment="1">
      <alignment vertical="center"/>
    </xf>
    <xf numFmtId="0" fontId="7" fillId="0" borderId="55" xfId="0" applyFont="1" applyFill="1" applyBorder="1" applyAlignment="1">
      <alignment vertical="center"/>
    </xf>
    <xf numFmtId="0" fontId="7" fillId="0" borderId="56" xfId="0" applyFont="1" applyFill="1" applyBorder="1" applyAlignment="1">
      <alignment vertical="center"/>
    </xf>
    <xf numFmtId="0" fontId="17" fillId="0" borderId="13" xfId="0" applyFont="1" applyFill="1" applyBorder="1" applyAlignment="1">
      <alignment vertical="center"/>
    </xf>
    <xf numFmtId="0" fontId="7" fillId="0" borderId="13" xfId="0" applyFont="1" applyFill="1" applyBorder="1" applyAlignment="1">
      <alignment vertical="center"/>
    </xf>
    <xf numFmtId="0" fontId="17" fillId="0" borderId="0" xfId="0" applyFont="1" applyFill="1" applyAlignment="1">
      <alignment horizontal="left" vertical="center"/>
    </xf>
    <xf numFmtId="0" fontId="7" fillId="0" borderId="57" xfId="0" applyFont="1" applyFill="1" applyBorder="1" applyAlignment="1">
      <alignment vertical="center"/>
    </xf>
    <xf numFmtId="0" fontId="7" fillId="0" borderId="41" xfId="0" applyFont="1" applyFill="1" applyBorder="1" applyAlignment="1">
      <alignment vertical="center"/>
    </xf>
    <xf numFmtId="0" fontId="7" fillId="0" borderId="58" xfId="0" applyFont="1" applyFill="1" applyBorder="1" applyAlignment="1">
      <alignment vertical="center"/>
    </xf>
    <xf numFmtId="0" fontId="6" fillId="0" borderId="27" xfId="0" applyFont="1" applyFill="1" applyBorder="1" applyAlignment="1"/>
    <xf numFmtId="167" fontId="6" fillId="0" borderId="0" xfId="1" applyNumberFormat="1" applyFont="1" applyFill="1" applyAlignment="1"/>
    <xf numFmtId="167" fontId="6" fillId="0" borderId="16" xfId="1" applyNumberFormat="1" applyFont="1" applyFill="1" applyBorder="1" applyAlignment="1">
      <alignment vertical="top" wrapText="1"/>
    </xf>
    <xf numFmtId="0" fontId="6" fillId="0" borderId="1" xfId="0" applyFont="1" applyFill="1" applyBorder="1" applyAlignment="1">
      <alignment vertical="top" wrapText="1"/>
    </xf>
    <xf numFmtId="167" fontId="6" fillId="0" borderId="15" xfId="1" applyNumberFormat="1" applyFont="1" applyFill="1" applyBorder="1" applyAlignment="1"/>
    <xf numFmtId="0" fontId="6" fillId="0" borderId="7" xfId="0" applyFont="1" applyFill="1" applyBorder="1" applyAlignment="1">
      <alignment vertical="top" wrapText="1"/>
    </xf>
    <xf numFmtId="0" fontId="6" fillId="0" borderId="44" xfId="0" applyFont="1" applyFill="1" applyBorder="1" applyAlignment="1"/>
    <xf numFmtId="164" fontId="6" fillId="0" borderId="45" xfId="1" applyFont="1" applyFill="1" applyBorder="1"/>
    <xf numFmtId="0" fontId="6" fillId="0" borderId="0" xfId="0" applyFont="1" applyFill="1" applyBorder="1" applyAlignment="1">
      <alignment horizontal="left" vertical="top" wrapText="1" indent="1"/>
    </xf>
    <xf numFmtId="164" fontId="6" fillId="0" borderId="16" xfId="1" applyFont="1" applyFill="1" applyBorder="1"/>
    <xf numFmtId="164" fontId="6" fillId="0" borderId="1" xfId="1" applyFont="1" applyFill="1" applyBorder="1"/>
    <xf numFmtId="164" fontId="6" fillId="0" borderId="15" xfId="1" applyFont="1" applyFill="1" applyBorder="1"/>
    <xf numFmtId="164" fontId="6" fillId="0" borderId="5" xfId="1" applyFont="1" applyFill="1" applyBorder="1"/>
    <xf numFmtId="0" fontId="6" fillId="0" borderId="64" xfId="0" applyFont="1" applyFill="1" applyBorder="1"/>
    <xf numFmtId="164" fontId="6" fillId="0" borderId="13" xfId="1" applyFont="1" applyFill="1" applyBorder="1"/>
    <xf numFmtId="0" fontId="6" fillId="0" borderId="65" xfId="0" applyFont="1" applyFill="1" applyBorder="1"/>
    <xf numFmtId="168" fontId="6" fillId="0" borderId="16" xfId="1" applyNumberFormat="1" applyFont="1" applyFill="1" applyBorder="1"/>
    <xf numFmtId="168" fontId="6" fillId="0" borderId="1" xfId="1" applyNumberFormat="1" applyFont="1" applyFill="1" applyBorder="1"/>
    <xf numFmtId="168" fontId="6" fillId="0" borderId="15" xfId="1" applyNumberFormat="1" applyFont="1" applyFill="1" applyBorder="1"/>
    <xf numFmtId="164" fontId="6" fillId="0" borderId="0" xfId="1" applyFont="1" applyFill="1" applyAlignment="1">
      <alignment horizontal="justify" vertical="justify"/>
    </xf>
    <xf numFmtId="0" fontId="6" fillId="0" borderId="0" xfId="0" applyFont="1" applyFill="1" applyAlignment="1">
      <alignment horizontal="justify" vertical="justify"/>
    </xf>
    <xf numFmtId="164" fontId="6" fillId="0" borderId="0" xfId="1" applyFont="1" applyFill="1" applyBorder="1" applyAlignment="1">
      <alignment horizontal="justify" vertical="justify"/>
    </xf>
    <xf numFmtId="0" fontId="6" fillId="0" borderId="19" xfId="0" applyFont="1" applyFill="1" applyBorder="1" applyAlignment="1">
      <alignment horizontal="justify" vertical="justify"/>
    </xf>
    <xf numFmtId="0" fontId="6" fillId="0" borderId="18" xfId="0" applyFont="1" applyFill="1" applyBorder="1" applyAlignment="1"/>
    <xf numFmtId="0" fontId="6" fillId="0" borderId="0" xfId="0" applyFont="1" applyFill="1" applyBorder="1" applyAlignment="1">
      <alignment horizontal="justify" vertical="justify"/>
    </xf>
    <xf numFmtId="43" fontId="6" fillId="0" borderId="0" xfId="1" applyNumberFormat="1" applyFont="1" applyFill="1" applyBorder="1"/>
    <xf numFmtId="43" fontId="6" fillId="0" borderId="16" xfId="1" applyNumberFormat="1" applyFont="1" applyFill="1" applyBorder="1"/>
    <xf numFmtId="43" fontId="6" fillId="0" borderId="19" xfId="1" applyNumberFormat="1" applyFont="1" applyFill="1" applyBorder="1"/>
    <xf numFmtId="43" fontId="6" fillId="0" borderId="0" xfId="1" applyNumberFormat="1" applyFont="1" applyFill="1"/>
    <xf numFmtId="43" fontId="6" fillId="0" borderId="1" xfId="1" applyNumberFormat="1" applyFont="1" applyFill="1" applyBorder="1"/>
    <xf numFmtId="43" fontId="6" fillId="0" borderId="15" xfId="1" applyNumberFormat="1" applyFont="1" applyFill="1" applyBorder="1"/>
    <xf numFmtId="164" fontId="6" fillId="0" borderId="7" xfId="1" applyFont="1" applyFill="1" applyBorder="1"/>
    <xf numFmtId="167" fontId="6" fillId="0" borderId="7" xfId="1" applyNumberFormat="1" applyFont="1" applyFill="1" applyBorder="1"/>
    <xf numFmtId="167" fontId="6" fillId="0" borderId="25" xfId="1" applyNumberFormat="1" applyFont="1" applyFill="1" applyBorder="1" applyAlignment="1"/>
    <xf numFmtId="0" fontId="6" fillId="0" borderId="21" xfId="0" applyFont="1" applyFill="1" applyBorder="1"/>
    <xf numFmtId="167" fontId="6" fillId="0" borderId="70" xfId="1" applyNumberFormat="1" applyFont="1" applyFill="1" applyBorder="1" applyAlignment="1">
      <alignment vertical="center"/>
    </xf>
    <xf numFmtId="167" fontId="6" fillId="0" borderId="89" xfId="1" applyNumberFormat="1" applyFont="1" applyFill="1" applyBorder="1" applyAlignment="1">
      <alignment vertical="center"/>
    </xf>
    <xf numFmtId="0" fontId="6" fillId="0" borderId="65" xfId="0" applyFont="1" applyFill="1" applyBorder="1" applyAlignment="1">
      <alignment vertical="center"/>
    </xf>
    <xf numFmtId="167" fontId="6" fillId="0" borderId="14" xfId="1" applyNumberFormat="1" applyFont="1" applyFill="1" applyBorder="1" applyAlignment="1">
      <alignment vertical="center"/>
    </xf>
    <xf numFmtId="167" fontId="6" fillId="0" borderId="75" xfId="1" applyNumberFormat="1" applyFont="1" applyFill="1" applyBorder="1" applyAlignment="1">
      <alignment vertical="center"/>
    </xf>
    <xf numFmtId="167" fontId="6" fillId="0" borderId="73" xfId="1" applyNumberFormat="1" applyFont="1" applyFill="1" applyBorder="1" applyAlignment="1">
      <alignment vertical="center"/>
    </xf>
    <xf numFmtId="167" fontId="6" fillId="0" borderId="15" xfId="1" applyNumberFormat="1" applyFont="1" applyFill="1" applyBorder="1" applyAlignment="1">
      <alignment horizontal="left" vertical="center" wrapText="1"/>
    </xf>
    <xf numFmtId="167" fontId="6" fillId="0" borderId="0" xfId="1" applyNumberFormat="1" applyFont="1" applyFill="1" applyBorder="1" applyAlignment="1">
      <alignment horizontal="left" vertical="center" wrapText="1"/>
    </xf>
    <xf numFmtId="0" fontId="6" fillId="0" borderId="16" xfId="0" applyFont="1" applyFill="1" applyBorder="1" applyAlignment="1">
      <alignment horizontal="left" vertical="center" wrapText="1"/>
    </xf>
    <xf numFmtId="167" fontId="6" fillId="0" borderId="16" xfId="1"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167" fontId="6" fillId="0" borderId="1" xfId="1" applyNumberFormat="1" applyFont="1" applyFill="1" applyBorder="1" applyAlignment="1">
      <alignment horizontal="left" vertical="center" wrapText="1"/>
    </xf>
    <xf numFmtId="167" fontId="6" fillId="0" borderId="0" xfId="1" quotePrefix="1" applyNumberFormat="1" applyFont="1" applyFill="1" applyBorder="1" applyAlignment="1">
      <alignment vertical="center"/>
    </xf>
    <xf numFmtId="167" fontId="6" fillId="0" borderId="72" xfId="1" applyNumberFormat="1" applyFont="1" applyFill="1" applyBorder="1" applyAlignment="1">
      <alignment vertical="center"/>
    </xf>
    <xf numFmtId="0" fontId="6" fillId="0" borderId="64" xfId="0" applyFont="1" applyFill="1" applyBorder="1" applyAlignment="1">
      <alignment vertical="center"/>
    </xf>
    <xf numFmtId="0" fontId="6" fillId="0" borderId="15" xfId="0" applyFont="1" applyFill="1" applyBorder="1" applyAlignment="1">
      <alignment vertical="center"/>
    </xf>
    <xf numFmtId="167" fontId="6" fillId="0" borderId="7" xfId="1" applyNumberFormat="1" applyFont="1" applyFill="1" applyBorder="1" applyAlignment="1">
      <alignment vertical="center"/>
    </xf>
    <xf numFmtId="0" fontId="6" fillId="0" borderId="19" xfId="0" applyFont="1" applyFill="1" applyBorder="1" applyAlignment="1">
      <alignment vertical="center" wrapText="1"/>
    </xf>
    <xf numFmtId="0" fontId="6" fillId="0" borderId="0" xfId="0" applyFont="1" applyFill="1" applyAlignment="1">
      <alignment vertical="center" wrapText="1"/>
    </xf>
    <xf numFmtId="167" fontId="6" fillId="0" borderId="14" xfId="1" applyNumberFormat="1" applyFont="1" applyFill="1" applyBorder="1" applyAlignment="1">
      <alignment vertical="center" wrapText="1"/>
    </xf>
    <xf numFmtId="167" fontId="6" fillId="0" borderId="75" xfId="1" applyNumberFormat="1" applyFont="1" applyFill="1" applyBorder="1" applyAlignment="1">
      <alignment vertical="center" wrapText="1"/>
    </xf>
    <xf numFmtId="167" fontId="6" fillId="0" borderId="73" xfId="1" applyNumberFormat="1" applyFont="1" applyFill="1" applyBorder="1" applyAlignment="1">
      <alignment vertical="center" wrapText="1"/>
    </xf>
    <xf numFmtId="167" fontId="6" fillId="0" borderId="6" xfId="1" applyNumberFormat="1" applyFont="1" applyFill="1" applyBorder="1" applyAlignment="1">
      <alignment vertical="center" wrapText="1"/>
    </xf>
    <xf numFmtId="167" fontId="6" fillId="0" borderId="74" xfId="1" applyNumberFormat="1" applyFont="1" applyFill="1" applyBorder="1" applyAlignment="1">
      <alignment vertical="center" wrapText="1"/>
    </xf>
    <xf numFmtId="0" fontId="6" fillId="0" borderId="70" xfId="0" applyFont="1" applyFill="1" applyBorder="1" applyAlignment="1">
      <alignment horizontal="justify" vertical="center" wrapText="1"/>
    </xf>
    <xf numFmtId="0" fontId="6" fillId="0" borderId="19" xfId="0" applyFont="1" applyFill="1" applyBorder="1" applyAlignment="1">
      <alignment horizontal="justify" vertical="center" wrapText="1"/>
    </xf>
    <xf numFmtId="0" fontId="6" fillId="0" borderId="0" xfId="0" applyFont="1" applyFill="1" applyAlignment="1">
      <alignment horizontal="justify" vertical="center" wrapText="1"/>
    </xf>
    <xf numFmtId="167" fontId="6" fillId="0" borderId="74" xfId="1" applyNumberFormat="1" applyFont="1" applyFill="1" applyBorder="1" applyAlignment="1">
      <alignment vertical="center"/>
    </xf>
    <xf numFmtId="167" fontId="6" fillId="0" borderId="70" xfId="1" quotePrefix="1" applyNumberFormat="1" applyFont="1" applyFill="1" applyBorder="1" applyAlignment="1">
      <alignment horizontal="center" vertical="center"/>
    </xf>
    <xf numFmtId="0" fontId="6" fillId="0" borderId="70" xfId="0" applyFont="1" applyFill="1" applyBorder="1" applyAlignment="1">
      <alignment vertical="center"/>
    </xf>
    <xf numFmtId="0" fontId="6" fillId="0" borderId="5" xfId="0" applyFont="1" applyFill="1" applyBorder="1" applyAlignment="1">
      <alignment vertical="center" wrapText="1"/>
    </xf>
    <xf numFmtId="167" fontId="6" fillId="0" borderId="5" xfId="1" applyNumberFormat="1" applyFont="1" applyFill="1" applyBorder="1" applyAlignment="1">
      <alignment vertical="center" wrapText="1"/>
    </xf>
    <xf numFmtId="167" fontId="6" fillId="0" borderId="72" xfId="1" applyNumberFormat="1" applyFont="1" applyFill="1" applyBorder="1" applyAlignment="1">
      <alignment vertical="center" wrapText="1"/>
    </xf>
    <xf numFmtId="0" fontId="6" fillId="0" borderId="64" xfId="0" applyFont="1" applyFill="1" applyBorder="1" applyAlignment="1">
      <alignment vertical="center" wrapText="1"/>
    </xf>
    <xf numFmtId="10" fontId="6" fillId="0" borderId="0" xfId="5" applyNumberFormat="1" applyFont="1" applyFill="1" applyBorder="1" applyAlignment="1">
      <alignment vertical="center"/>
    </xf>
    <xf numFmtId="10" fontId="6" fillId="0" borderId="70" xfId="5" applyNumberFormat="1" applyFont="1" applyFill="1" applyBorder="1" applyAlignment="1">
      <alignment vertical="center"/>
    </xf>
    <xf numFmtId="164" fontId="6" fillId="0" borderId="70" xfId="1" applyFont="1" applyFill="1" applyBorder="1" applyAlignment="1">
      <alignment horizontal="justify" vertical="center" wrapText="1"/>
    </xf>
    <xf numFmtId="164" fontId="6" fillId="0" borderId="75" xfId="1" applyFont="1" applyFill="1" applyBorder="1" applyAlignment="1">
      <alignment horizontal="justify" vertical="center" wrapText="1"/>
    </xf>
    <xf numFmtId="164" fontId="6" fillId="0" borderId="73" xfId="1" applyFont="1" applyFill="1" applyBorder="1" applyAlignment="1">
      <alignment horizontal="justify" vertical="center" wrapText="1"/>
    </xf>
    <xf numFmtId="164" fontId="6" fillId="0" borderId="74" xfId="1" applyFont="1" applyFill="1" applyBorder="1" applyAlignment="1">
      <alignment horizontal="justify" vertical="center" wrapText="1"/>
    </xf>
    <xf numFmtId="164" fontId="6" fillId="0" borderId="80" xfId="1" applyFont="1" applyFill="1" applyBorder="1" applyAlignment="1">
      <alignment horizontal="justify" vertical="center" wrapText="1"/>
    </xf>
    <xf numFmtId="164" fontId="6" fillId="0" borderId="70" xfId="1" applyFont="1" applyFill="1" applyBorder="1" applyAlignment="1">
      <alignment vertical="center"/>
    </xf>
    <xf numFmtId="167" fontId="6" fillId="0" borderId="10" xfId="1" applyNumberFormat="1" applyFont="1" applyFill="1" applyBorder="1" applyAlignment="1">
      <alignment vertical="center"/>
    </xf>
    <xf numFmtId="167" fontId="6" fillId="0" borderId="91" xfId="1" applyNumberFormat="1" applyFont="1" applyFill="1" applyBorder="1" applyAlignment="1">
      <alignment vertical="center"/>
    </xf>
    <xf numFmtId="0" fontId="6" fillId="0" borderId="13" xfId="0" applyFont="1" applyFill="1" applyBorder="1" applyAlignment="1">
      <alignment vertical="center" wrapText="1"/>
    </xf>
    <xf numFmtId="167" fontId="6" fillId="0" borderId="13" xfId="1" applyNumberFormat="1" applyFont="1" applyFill="1" applyBorder="1" applyAlignment="1">
      <alignment vertical="center" wrapText="1"/>
    </xf>
    <xf numFmtId="167" fontId="6" fillId="0" borderId="89" xfId="1" applyNumberFormat="1" applyFont="1" applyFill="1" applyBorder="1" applyAlignment="1">
      <alignment vertical="center" wrapText="1"/>
    </xf>
    <xf numFmtId="0" fontId="6" fillId="0" borderId="65" xfId="0" applyFont="1" applyFill="1" applyBorder="1" applyAlignment="1">
      <alignment vertical="center" wrapText="1"/>
    </xf>
    <xf numFmtId="43" fontId="6" fillId="0" borderId="0" xfId="0" applyNumberFormat="1" applyFont="1" applyFill="1" applyBorder="1" applyAlignment="1">
      <alignment vertical="center"/>
    </xf>
    <xf numFmtId="0" fontId="6" fillId="0" borderId="0" xfId="0" applyFont="1" applyFill="1" applyBorder="1" applyAlignment="1">
      <alignment horizontal="center" vertical="center" wrapText="1"/>
    </xf>
    <xf numFmtId="167" fontId="6" fillId="0" borderId="0" xfId="1" applyNumberFormat="1" applyFont="1" applyFill="1" applyBorder="1" applyAlignment="1">
      <alignment horizontal="center" vertical="center" wrapText="1"/>
    </xf>
    <xf numFmtId="0" fontId="6" fillId="0" borderId="25" xfId="0" applyFont="1" applyFill="1" applyBorder="1" applyAlignment="1">
      <alignment vertical="center"/>
    </xf>
    <xf numFmtId="167" fontId="6" fillId="0" borderId="25" xfId="1" applyNumberFormat="1" applyFont="1" applyFill="1" applyBorder="1" applyAlignment="1">
      <alignment vertical="center"/>
    </xf>
    <xf numFmtId="167" fontId="6" fillId="0" borderId="70" xfId="0" applyNumberFormat="1" applyFont="1" applyFill="1" applyBorder="1" applyAlignment="1">
      <alignment vertical="center"/>
    </xf>
    <xf numFmtId="0" fontId="6" fillId="0" borderId="22" xfId="0" applyFont="1" applyFill="1" applyBorder="1" applyAlignment="1">
      <alignment vertical="center" wrapText="1"/>
    </xf>
    <xf numFmtId="167" fontId="6" fillId="0" borderId="5" xfId="0" applyNumberFormat="1" applyFont="1" applyFill="1" applyBorder="1" applyAlignment="1">
      <alignment vertical="center" wrapText="1"/>
    </xf>
    <xf numFmtId="167" fontId="6" fillId="0" borderId="6" xfId="0" applyNumberFormat="1" applyFont="1" applyFill="1" applyBorder="1" applyAlignment="1">
      <alignment vertical="center" wrapText="1"/>
    </xf>
    <xf numFmtId="0" fontId="6" fillId="0" borderId="6" xfId="0" applyFont="1" applyFill="1" applyBorder="1" applyAlignment="1">
      <alignment vertical="center" wrapText="1"/>
    </xf>
    <xf numFmtId="167" fontId="29" fillId="0" borderId="0" xfId="1" applyNumberFormat="1" applyFont="1" applyFill="1" applyAlignment="1">
      <alignment vertical="center"/>
    </xf>
    <xf numFmtId="167" fontId="7" fillId="0" borderId="0" xfId="1" applyNumberFormat="1" applyFont="1" applyFill="1" applyBorder="1" applyAlignment="1">
      <alignment vertical="center"/>
    </xf>
    <xf numFmtId="167" fontId="7" fillId="0" borderId="13" xfId="1" applyNumberFormat="1" applyFont="1" applyFill="1" applyBorder="1" applyAlignment="1">
      <alignment vertical="center"/>
    </xf>
    <xf numFmtId="0" fontId="7" fillId="0" borderId="0" xfId="0" applyFont="1" applyFill="1" applyAlignment="1">
      <alignment vertical="center" wrapText="1"/>
    </xf>
    <xf numFmtId="0" fontId="17" fillId="0" borderId="69" xfId="0" quotePrefix="1" applyFont="1" applyFill="1" applyBorder="1" applyAlignment="1">
      <alignment horizontal="left" vertical="center" wrapText="1"/>
    </xf>
    <xf numFmtId="167" fontId="17" fillId="0" borderId="5" xfId="1" applyNumberFormat="1" applyFont="1" applyFill="1" applyBorder="1" applyAlignment="1">
      <alignment horizontal="center" vertical="center" wrapText="1"/>
    </xf>
    <xf numFmtId="167" fontId="17" fillId="0" borderId="5" xfId="1" quotePrefix="1" applyNumberFormat="1" applyFont="1" applyFill="1" applyBorder="1" applyAlignment="1">
      <alignment horizontal="center" vertical="center" wrapText="1"/>
    </xf>
    <xf numFmtId="167" fontId="17" fillId="0" borderId="10" xfId="1" applyNumberFormat="1" applyFont="1" applyFill="1" applyBorder="1" applyAlignment="1">
      <alignment vertical="center"/>
    </xf>
    <xf numFmtId="0" fontId="17" fillId="0" borderId="25" xfId="0" applyFont="1" applyFill="1" applyBorder="1" applyAlignment="1">
      <alignment horizontal="center" vertical="center" wrapText="1"/>
    </xf>
    <xf numFmtId="0" fontId="7" fillId="0" borderId="0" xfId="3" applyFont="1" applyFill="1" applyAlignment="1">
      <alignment vertical="center"/>
    </xf>
    <xf numFmtId="0" fontId="7" fillId="0" borderId="0" xfId="3" applyFont="1" applyFill="1" applyBorder="1" applyAlignment="1">
      <alignment vertical="center"/>
    </xf>
    <xf numFmtId="167" fontId="7" fillId="0" borderId="1" xfId="1" applyNumberFormat="1" applyFont="1" applyFill="1" applyBorder="1" applyAlignment="1">
      <alignment vertical="center"/>
    </xf>
    <xf numFmtId="0" fontId="7" fillId="0" borderId="0" xfId="3" applyFont="1" applyFill="1" applyBorder="1" applyAlignment="1">
      <alignment horizontal="justify" vertical="center" wrapText="1"/>
    </xf>
    <xf numFmtId="0" fontId="7" fillId="0" borderId="69" xfId="3" applyFont="1" applyFill="1" applyBorder="1" applyAlignment="1">
      <alignment horizontal="right" vertical="center"/>
    </xf>
    <xf numFmtId="0" fontId="7" fillId="0" borderId="0" xfId="3" applyFont="1" applyFill="1" applyBorder="1" applyAlignment="1">
      <alignment horizontal="left" vertical="center" wrapText="1"/>
    </xf>
    <xf numFmtId="0" fontId="7" fillId="0" borderId="16" xfId="3" applyFont="1" applyFill="1" applyBorder="1" applyAlignment="1">
      <alignment horizontal="left" vertical="center" wrapText="1"/>
    </xf>
    <xf numFmtId="167" fontId="7" fillId="0" borderId="16" xfId="1" applyNumberFormat="1" applyFont="1" applyFill="1" applyBorder="1" applyAlignment="1">
      <alignment horizontal="right" vertical="center"/>
    </xf>
    <xf numFmtId="169" fontId="7" fillId="0" borderId="0" xfId="3" applyNumberFormat="1" applyFont="1" applyFill="1" applyBorder="1" applyAlignment="1">
      <alignment horizontal="right" vertical="center"/>
    </xf>
    <xf numFmtId="0" fontId="7" fillId="0" borderId="1" xfId="3" applyFont="1" applyFill="1" applyBorder="1" applyAlignment="1">
      <alignment horizontal="left" vertical="center" wrapText="1"/>
    </xf>
    <xf numFmtId="167" fontId="7" fillId="0" borderId="1" xfId="1" applyNumberFormat="1" applyFont="1" applyFill="1" applyBorder="1" applyAlignment="1">
      <alignment horizontal="right" vertical="center"/>
    </xf>
    <xf numFmtId="0" fontId="7" fillId="0" borderId="15" xfId="3" applyFont="1" applyFill="1" applyBorder="1" applyAlignment="1">
      <alignment horizontal="left" vertical="center" wrapText="1"/>
    </xf>
    <xf numFmtId="167" fontId="7" fillId="0" borderId="15" xfId="1" applyNumberFormat="1" applyFont="1" applyFill="1" applyBorder="1" applyAlignment="1">
      <alignment horizontal="right" vertical="center"/>
    </xf>
    <xf numFmtId="167" fontId="7" fillId="0" borderId="0" xfId="1" applyNumberFormat="1" applyFont="1" applyFill="1" applyBorder="1" applyAlignment="1">
      <alignment horizontal="right" vertical="center"/>
    </xf>
    <xf numFmtId="0" fontId="7" fillId="0" borderId="0" xfId="4" applyFont="1" applyFill="1" applyBorder="1" applyAlignment="1">
      <alignment horizontal="justify" vertical="center" wrapText="1"/>
    </xf>
    <xf numFmtId="0" fontId="7" fillId="0" borderId="16" xfId="4" applyFont="1" applyFill="1" applyBorder="1" applyAlignment="1">
      <alignment horizontal="justify" vertical="center" wrapText="1"/>
    </xf>
    <xf numFmtId="0" fontId="7" fillId="0" borderId="0" xfId="4" applyFont="1" applyFill="1" applyBorder="1" applyAlignment="1">
      <alignment horizontal="left" vertical="center" wrapText="1"/>
    </xf>
    <xf numFmtId="0" fontId="7" fillId="0" borderId="15" xfId="4" applyFont="1" applyFill="1" applyBorder="1" applyAlignment="1">
      <alignment horizontal="left" vertical="center" wrapText="1"/>
    </xf>
    <xf numFmtId="0" fontId="7" fillId="0" borderId="2" xfId="3" applyFont="1" applyFill="1" applyBorder="1" applyAlignment="1">
      <alignment horizontal="left" vertical="center" wrapText="1"/>
    </xf>
    <xf numFmtId="0" fontId="7" fillId="0" borderId="7" xfId="3" applyFont="1" applyFill="1" applyBorder="1" applyAlignment="1">
      <alignment horizontal="left" vertical="center" wrapText="1"/>
    </xf>
    <xf numFmtId="0" fontId="7" fillId="0" borderId="81" xfId="3" applyFont="1" applyFill="1" applyBorder="1" applyAlignment="1">
      <alignment horizontal="right" vertical="center"/>
    </xf>
    <xf numFmtId="0" fontId="7" fillId="0" borderId="5" xfId="3" applyFont="1" applyFill="1" applyBorder="1" applyAlignment="1">
      <alignment horizontal="justify" vertical="center" wrapText="1"/>
    </xf>
    <xf numFmtId="0" fontId="7" fillId="0" borderId="79" xfId="3" applyFont="1" applyFill="1" applyBorder="1" applyAlignment="1">
      <alignment horizontal="right" vertical="center"/>
    </xf>
    <xf numFmtId="0" fontId="7" fillId="0" borderId="7" xfId="3" applyFont="1" applyFill="1" applyBorder="1" applyAlignment="1">
      <alignment horizontal="justify" vertical="center" wrapText="1"/>
    </xf>
    <xf numFmtId="0" fontId="7" fillId="0" borderId="76" xfId="3" applyFont="1" applyFill="1" applyBorder="1" applyAlignment="1">
      <alignment horizontal="right" vertical="center"/>
    </xf>
    <xf numFmtId="0" fontId="7" fillId="0" borderId="77" xfId="3" applyFont="1" applyFill="1" applyBorder="1" applyAlignment="1">
      <alignment horizontal="justify" vertical="center" wrapText="1"/>
    </xf>
    <xf numFmtId="0" fontId="7" fillId="0" borderId="8" xfId="3" applyFont="1" applyFill="1" applyBorder="1" applyAlignment="1">
      <alignment vertical="center"/>
    </xf>
    <xf numFmtId="168" fontId="7" fillId="0" borderId="5" xfId="1" applyNumberFormat="1" applyFont="1" applyFill="1" applyBorder="1" applyAlignment="1">
      <alignment vertical="center"/>
    </xf>
    <xf numFmtId="168" fontId="7" fillId="0" borderId="0" xfId="1" applyNumberFormat="1" applyFont="1" applyFill="1" applyAlignment="1">
      <alignment vertical="center"/>
    </xf>
    <xf numFmtId="0" fontId="7" fillId="0" borderId="0" xfId="3" applyFont="1" applyFill="1" applyAlignment="1">
      <alignment horizontal="justify" vertical="center" wrapText="1"/>
    </xf>
    <xf numFmtId="0" fontId="29" fillId="0" borderId="69" xfId="0" applyFont="1" applyFill="1" applyBorder="1" applyAlignment="1">
      <alignment horizontal="justify" vertical="center"/>
    </xf>
    <xf numFmtId="167" fontId="29" fillId="0" borderId="16" xfId="1" quotePrefix="1" applyNumberFormat="1" applyFont="1" applyFill="1" applyBorder="1" applyAlignment="1">
      <alignment horizontal="center" vertical="center"/>
    </xf>
    <xf numFmtId="0" fontId="29" fillId="0" borderId="1" xfId="0" applyFont="1" applyFill="1" applyBorder="1" applyAlignment="1">
      <alignment horizontal="center" vertical="center"/>
    </xf>
    <xf numFmtId="0" fontId="6" fillId="0" borderId="0" xfId="0" applyFont="1" applyFill="1" applyBorder="1" applyAlignment="1">
      <alignment horizontal="justify" vertical="center"/>
    </xf>
    <xf numFmtId="167" fontId="6" fillId="0" borderId="0" xfId="1" applyNumberFormat="1" applyFont="1" applyFill="1" applyAlignment="1">
      <alignment horizontal="justify" vertical="center"/>
    </xf>
    <xf numFmtId="0" fontId="6" fillId="0" borderId="0" xfId="0" applyFont="1" applyFill="1" applyAlignment="1">
      <alignment horizontal="justify" vertical="center"/>
    </xf>
    <xf numFmtId="0" fontId="6" fillId="0" borderId="16" xfId="0" applyFont="1" applyFill="1" applyBorder="1" applyAlignment="1">
      <alignment horizontal="justify" vertical="center" wrapText="1"/>
    </xf>
    <xf numFmtId="167" fontId="6" fillId="0" borderId="16" xfId="1" applyNumberFormat="1" applyFont="1" applyFill="1" applyBorder="1" applyAlignment="1">
      <alignment horizontal="justify" vertical="center" wrapText="1"/>
    </xf>
    <xf numFmtId="0" fontId="6" fillId="0" borderId="1" xfId="0" applyFont="1" applyFill="1" applyBorder="1" applyAlignment="1">
      <alignment horizontal="justify" vertical="center" wrapText="1"/>
    </xf>
    <xf numFmtId="167" fontId="6" fillId="0" borderId="1" xfId="1" applyNumberFormat="1" applyFont="1" applyFill="1" applyBorder="1" applyAlignment="1">
      <alignment horizontal="justify" vertical="center" wrapText="1"/>
    </xf>
    <xf numFmtId="167" fontId="29" fillId="0" borderId="1" xfId="1" quotePrefix="1" applyNumberFormat="1" applyFont="1" applyFill="1" applyBorder="1" applyAlignment="1">
      <alignment horizontal="center" vertical="center"/>
    </xf>
    <xf numFmtId="0" fontId="29" fillId="0" borderId="5" xfId="0" applyFont="1" applyFill="1" applyBorder="1" applyAlignment="1">
      <alignment vertical="center" wrapText="1"/>
    </xf>
    <xf numFmtId="0" fontId="29" fillId="0" borderId="0" xfId="0" applyFont="1" applyFill="1" applyBorder="1" applyAlignment="1">
      <alignment horizontal="left" vertical="center"/>
    </xf>
    <xf numFmtId="0" fontId="6" fillId="0" borderId="69" xfId="0" applyFont="1" applyFill="1" applyBorder="1" applyAlignment="1">
      <alignment vertical="center"/>
    </xf>
    <xf numFmtId="164" fontId="6" fillId="0" borderId="0" xfId="10" applyFont="1" applyFill="1" applyBorder="1"/>
    <xf numFmtId="164" fontId="29" fillId="0" borderId="0" xfId="0" applyNumberFormat="1" applyFont="1" applyFill="1" applyBorder="1" applyAlignment="1">
      <alignment vertical="center"/>
    </xf>
    <xf numFmtId="0" fontId="29" fillId="0" borderId="0" xfId="0" applyFont="1" applyFill="1" applyBorder="1" applyAlignment="1">
      <alignment horizontal="justify" vertical="center" wrapText="1"/>
    </xf>
    <xf numFmtId="0" fontId="6" fillId="0" borderId="5" xfId="0" applyFont="1" applyFill="1" applyBorder="1" applyAlignment="1">
      <alignment horizontal="justify" vertical="center" wrapText="1"/>
    </xf>
    <xf numFmtId="170" fontId="6" fillId="0" borderId="0" xfId="0" applyNumberFormat="1" applyFont="1" applyFill="1" applyBorder="1" applyAlignment="1">
      <alignment vertical="center"/>
    </xf>
    <xf numFmtId="170" fontId="6" fillId="0" borderId="0" xfId="1" applyNumberFormat="1" applyFont="1" applyFill="1" applyBorder="1" applyAlignment="1">
      <alignment vertical="center"/>
    </xf>
    <xf numFmtId="170" fontId="6" fillId="0" borderId="5" xfId="0" applyNumberFormat="1" applyFont="1" applyFill="1" applyBorder="1" applyAlignment="1">
      <alignment vertical="center"/>
    </xf>
    <xf numFmtId="0" fontId="36" fillId="0" borderId="0" xfId="0" applyFont="1" applyFill="1" applyBorder="1" applyAlignment="1">
      <alignment horizontal="justify" vertical="center" wrapText="1"/>
    </xf>
    <xf numFmtId="170" fontId="6" fillId="0" borderId="0" xfId="1" applyNumberFormat="1" applyFont="1" applyFill="1" applyBorder="1" applyAlignment="1">
      <alignment horizontal="center" vertical="center"/>
    </xf>
    <xf numFmtId="167" fontId="6" fillId="0" borderId="0" xfId="1" applyNumberFormat="1" applyFont="1" applyFill="1" applyBorder="1" applyAlignment="1">
      <alignment horizontal="right" vertical="center"/>
    </xf>
    <xf numFmtId="0" fontId="6" fillId="0" borderId="0" xfId="0" applyFont="1" applyFill="1" applyBorder="1" applyAlignment="1">
      <alignment horizontal="right" vertical="center"/>
    </xf>
    <xf numFmtId="167" fontId="6" fillId="0" borderId="5" xfId="1" applyNumberFormat="1" applyFont="1" applyFill="1" applyBorder="1" applyAlignment="1">
      <alignment horizontal="right" vertical="center"/>
    </xf>
    <xf numFmtId="0" fontId="6" fillId="0" borderId="5" xfId="0" applyFont="1" applyFill="1" applyBorder="1" applyAlignment="1">
      <alignment horizontal="right" vertical="center"/>
    </xf>
    <xf numFmtId="170" fontId="6" fillId="0" borderId="0" xfId="1" applyNumberFormat="1" applyFont="1" applyFill="1" applyBorder="1" applyAlignment="1">
      <alignment horizontal="right" vertical="center"/>
    </xf>
    <xf numFmtId="170" fontId="6" fillId="0" borderId="7" xfId="1" applyNumberFormat="1" applyFont="1" applyFill="1" applyBorder="1" applyAlignment="1">
      <alignment vertical="center"/>
    </xf>
    <xf numFmtId="0" fontId="29" fillId="0" borderId="0" xfId="0" applyFont="1" applyFill="1" applyBorder="1" applyAlignment="1">
      <alignment horizontal="right" vertical="center"/>
    </xf>
    <xf numFmtId="9" fontId="6" fillId="0" borderId="0" xfId="5" applyFont="1" applyFill="1" applyBorder="1" applyAlignment="1">
      <alignment horizontal="right" vertical="center"/>
    </xf>
    <xf numFmtId="9" fontId="6" fillId="0" borderId="0" xfId="5" applyFont="1" applyFill="1" applyBorder="1" applyAlignment="1">
      <alignment vertical="center"/>
    </xf>
    <xf numFmtId="167" fontId="29" fillId="0" borderId="7" xfId="1" applyNumberFormat="1" applyFont="1" applyFill="1" applyBorder="1" applyAlignment="1">
      <alignment horizontal="right" vertical="center"/>
    </xf>
    <xf numFmtId="0" fontId="29" fillId="0" borderId="7" xfId="0" applyFont="1" applyFill="1" applyBorder="1" applyAlignment="1">
      <alignment horizontal="right" vertical="center"/>
    </xf>
    <xf numFmtId="0" fontId="35" fillId="0" borderId="0" xfId="0" applyFont="1" applyFill="1" applyBorder="1" applyAlignment="1">
      <alignment horizontal="justify" vertical="center" wrapText="1"/>
    </xf>
    <xf numFmtId="0" fontId="29" fillId="0" borderId="0" xfId="0" applyFont="1" applyFill="1" applyBorder="1" applyAlignment="1">
      <alignment horizontal="justify" vertical="center"/>
    </xf>
    <xf numFmtId="167" fontId="6" fillId="0" borderId="25" xfId="1" applyNumberFormat="1" applyFont="1" applyFill="1" applyBorder="1" applyAlignment="1">
      <alignment horizontal="right" vertical="center"/>
    </xf>
    <xf numFmtId="0" fontId="6" fillId="0" borderId="25" xfId="0" applyFont="1" applyFill="1" applyBorder="1" applyAlignment="1">
      <alignment horizontal="right" vertical="center"/>
    </xf>
    <xf numFmtId="167" fontId="29" fillId="0" borderId="41" xfId="1" applyNumberFormat="1" applyFont="1" applyFill="1" applyBorder="1" applyAlignment="1">
      <alignment horizontal="right" vertical="center"/>
    </xf>
    <xf numFmtId="0" fontId="29" fillId="0" borderId="41" xfId="0" applyFont="1" applyFill="1" applyBorder="1" applyAlignment="1">
      <alignment horizontal="right" vertical="center"/>
    </xf>
    <xf numFmtId="167" fontId="6" fillId="0" borderId="7" xfId="1" applyNumberFormat="1" applyFont="1" applyFill="1" applyBorder="1" applyAlignment="1">
      <alignment horizontal="right" vertical="center"/>
    </xf>
    <xf numFmtId="0" fontId="6" fillId="0" borderId="7" xfId="0" applyFont="1" applyFill="1" applyBorder="1" applyAlignment="1">
      <alignment horizontal="right" vertical="center"/>
    </xf>
    <xf numFmtId="0" fontId="35" fillId="0" borderId="0" xfId="0" applyFont="1" applyFill="1" applyBorder="1" applyAlignment="1">
      <alignment horizontal="justify" vertical="center"/>
    </xf>
    <xf numFmtId="0" fontId="33" fillId="0" borderId="0" xfId="0" applyFont="1" applyFill="1" applyBorder="1" applyAlignment="1">
      <alignment horizontal="justify" vertical="center"/>
    </xf>
    <xf numFmtId="0" fontId="29" fillId="0" borderId="0" xfId="0" applyFont="1" applyFill="1" applyAlignment="1">
      <alignment wrapText="1"/>
    </xf>
    <xf numFmtId="0" fontId="6" fillId="0" borderId="12" xfId="0" applyFont="1" applyFill="1" applyBorder="1" applyAlignment="1">
      <alignment vertical="center"/>
    </xf>
    <xf numFmtId="167" fontId="6" fillId="0" borderId="9" xfId="1" applyNumberFormat="1" applyFont="1" applyFill="1" applyBorder="1" applyAlignment="1">
      <alignment vertical="center" wrapText="1"/>
    </xf>
    <xf numFmtId="167" fontId="6" fillId="0" borderId="12" xfId="1" applyNumberFormat="1" applyFont="1" applyFill="1" applyBorder="1" applyAlignment="1">
      <alignment horizontal="right" vertical="center" wrapText="1"/>
    </xf>
    <xf numFmtId="167" fontId="6" fillId="0" borderId="9" xfId="1" applyNumberFormat="1" applyFont="1" applyFill="1" applyBorder="1" applyAlignment="1">
      <alignment horizontal="right" vertical="center" wrapText="1"/>
    </xf>
    <xf numFmtId="167" fontId="6" fillId="0" borderId="4" xfId="1" applyNumberFormat="1" applyFont="1" applyFill="1" applyBorder="1" applyAlignment="1">
      <alignment horizontal="right" vertical="center" wrapText="1"/>
    </xf>
    <xf numFmtId="167" fontId="6" fillId="0" borderId="8" xfId="1" applyNumberFormat="1" applyFont="1" applyFill="1" applyBorder="1" applyAlignment="1">
      <alignment horizontal="right" vertical="center" wrapText="1"/>
    </xf>
    <xf numFmtId="167" fontId="6" fillId="0" borderId="6" xfId="1" applyNumberFormat="1" applyFont="1" applyFill="1" applyBorder="1" applyAlignment="1">
      <alignment horizontal="right" vertical="center" wrapText="1"/>
    </xf>
    <xf numFmtId="0" fontId="29" fillId="0" borderId="9" xfId="0" applyFont="1" applyFill="1" applyBorder="1" applyAlignment="1">
      <alignment horizontal="center" vertical="center" wrapText="1"/>
    </xf>
    <xf numFmtId="164" fontId="29" fillId="0" borderId="0" xfId="1" applyFont="1" applyFill="1" applyBorder="1" applyAlignment="1">
      <alignment horizontal="right" vertical="center" wrapText="1"/>
    </xf>
    <xf numFmtId="164" fontId="7" fillId="0" borderId="0" xfId="1" applyFont="1" applyFill="1" applyAlignment="1">
      <alignment vertical="center"/>
    </xf>
    <xf numFmtId="0" fontId="7" fillId="0" borderId="12" xfId="0" applyFont="1" applyFill="1" applyBorder="1" applyAlignment="1">
      <alignment vertical="center"/>
    </xf>
    <xf numFmtId="0" fontId="7" fillId="0" borderId="14" xfId="0" applyFont="1" applyFill="1" applyBorder="1" applyAlignment="1">
      <alignment vertical="center"/>
    </xf>
    <xf numFmtId="167" fontId="7" fillId="0" borderId="16" xfId="1" applyNumberFormat="1" applyFont="1" applyFill="1" applyBorder="1" applyAlignment="1">
      <alignment horizontal="right" vertical="center" wrapText="1"/>
    </xf>
    <xf numFmtId="167" fontId="7" fillId="0" borderId="0" xfId="1" applyNumberFormat="1" applyFont="1" applyFill="1" applyBorder="1" applyAlignment="1">
      <alignment horizontal="right" vertical="center" wrapText="1"/>
    </xf>
    <xf numFmtId="167" fontId="7" fillId="0" borderId="16" xfId="1" applyNumberFormat="1" applyFont="1" applyFill="1" applyBorder="1" applyAlignment="1">
      <alignment vertical="center" wrapText="1"/>
    </xf>
    <xf numFmtId="167" fontId="7" fillId="0" borderId="1" xfId="1" applyNumberFormat="1" applyFont="1" applyFill="1" applyBorder="1" applyAlignment="1">
      <alignment horizontal="right" vertical="center" wrapText="1"/>
    </xf>
    <xf numFmtId="167" fontId="7" fillId="0" borderId="1" xfId="1" applyNumberFormat="1" applyFont="1" applyFill="1" applyBorder="1" applyAlignment="1">
      <alignment vertical="center" wrapText="1"/>
    </xf>
    <xf numFmtId="167" fontId="7" fillId="0" borderId="0" xfId="1" applyNumberFormat="1" applyFont="1" applyFill="1" applyBorder="1" applyAlignment="1">
      <alignment horizontal="center" vertical="center" wrapText="1"/>
    </xf>
    <xf numFmtId="167" fontId="7" fillId="0" borderId="15" xfId="1" applyNumberFormat="1" applyFont="1" applyFill="1" applyBorder="1" applyAlignment="1">
      <alignment horizontal="right" vertical="center" wrapText="1"/>
    </xf>
    <xf numFmtId="167" fontId="7" fillId="0" borderId="15" xfId="1" applyNumberFormat="1" applyFont="1" applyFill="1" applyBorder="1" applyAlignment="1">
      <alignment vertical="center" wrapText="1"/>
    </xf>
    <xf numFmtId="167" fontId="7" fillId="0" borderId="0" xfId="1" applyNumberFormat="1" applyFont="1" applyFill="1" applyBorder="1" applyAlignment="1">
      <alignment vertical="center" wrapText="1"/>
    </xf>
    <xf numFmtId="167" fontId="7" fillId="0" borderId="4" xfId="1"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167" fontId="7" fillId="0" borderId="0" xfId="1" applyNumberFormat="1" applyFont="1" applyFill="1" applyAlignment="1">
      <alignment vertical="center"/>
    </xf>
    <xf numFmtId="0" fontId="17" fillId="0" borderId="4" xfId="0" applyFont="1" applyFill="1" applyBorder="1" applyAlignment="1">
      <alignment vertical="center" wrapText="1"/>
    </xf>
    <xf numFmtId="164" fontId="17" fillId="0" borderId="0" xfId="1" applyFont="1" applyFill="1" applyBorder="1" applyAlignment="1">
      <alignment vertical="center" wrapText="1"/>
    </xf>
    <xf numFmtId="164" fontId="17" fillId="0" borderId="0" xfId="1" applyFont="1" applyFill="1" applyBorder="1" applyAlignment="1">
      <alignment horizontal="right" vertical="center" wrapText="1"/>
    </xf>
    <xf numFmtId="164" fontId="7" fillId="0" borderId="0" xfId="1" applyFont="1" applyFill="1" applyBorder="1" applyAlignment="1">
      <alignment horizontal="right" vertical="center" wrapText="1"/>
    </xf>
    <xf numFmtId="0" fontId="29" fillId="0" borderId="12" xfId="0" applyFont="1" applyFill="1" applyBorder="1" applyAlignment="1">
      <alignment horizontal="center" vertical="center" wrapText="1"/>
    </xf>
    <xf numFmtId="167" fontId="7" fillId="0" borderId="2" xfId="1" applyNumberFormat="1" applyFont="1" applyFill="1" applyBorder="1" applyAlignment="1">
      <alignment horizontal="right" vertical="center" wrapText="1"/>
    </xf>
    <xf numFmtId="167" fontId="7" fillId="0" borderId="6" xfId="1" applyNumberFormat="1" applyFont="1" applyFill="1" applyBorder="1" applyAlignment="1">
      <alignment horizontal="right" vertical="center" wrapText="1"/>
    </xf>
    <xf numFmtId="167" fontId="17" fillId="0" borderId="13" xfId="1" applyNumberFormat="1" applyFont="1" applyFill="1" applyBorder="1" applyAlignment="1">
      <alignment horizontal="center" vertical="center" wrapText="1"/>
    </xf>
    <xf numFmtId="0" fontId="6" fillId="0" borderId="18" xfId="0" applyFont="1" applyFill="1" applyBorder="1" applyAlignment="1">
      <alignment vertical="top" wrapText="1"/>
    </xf>
    <xf numFmtId="167" fontId="6" fillId="0" borderId="2" xfId="1" applyNumberFormat="1" applyFont="1" applyFill="1" applyBorder="1" applyAlignment="1">
      <alignment horizontal="right" vertical="top" wrapText="1"/>
    </xf>
    <xf numFmtId="0" fontId="6" fillId="0" borderId="4" xfId="0" applyFont="1" applyFill="1" applyBorder="1" applyAlignment="1">
      <alignment vertical="top" wrapText="1"/>
    </xf>
    <xf numFmtId="167" fontId="6" fillId="0" borderId="0" xfId="1" applyNumberFormat="1" applyFont="1" applyFill="1" applyBorder="1" applyAlignment="1">
      <alignment horizontal="right" vertical="top" wrapText="1"/>
    </xf>
    <xf numFmtId="167" fontId="6" fillId="0" borderId="16" xfId="1" applyNumberFormat="1" applyFont="1" applyFill="1" applyBorder="1" applyAlignment="1">
      <alignment horizontal="right" vertical="top" wrapText="1"/>
    </xf>
    <xf numFmtId="167" fontId="6" fillId="0" borderId="1" xfId="1" applyNumberFormat="1" applyFont="1" applyFill="1" applyBorder="1" applyAlignment="1">
      <alignment horizontal="right" vertical="top" wrapText="1"/>
    </xf>
    <xf numFmtId="167" fontId="6" fillId="0" borderId="15" xfId="1" applyNumberFormat="1" applyFont="1" applyFill="1" applyBorder="1" applyAlignment="1">
      <alignment horizontal="right" vertical="top" wrapText="1"/>
    </xf>
    <xf numFmtId="0" fontId="6" fillId="0" borderId="101" xfId="0" applyFont="1" applyFill="1" applyBorder="1" applyAlignment="1">
      <alignment vertical="top" wrapText="1"/>
    </xf>
    <xf numFmtId="0" fontId="6" fillId="0" borderId="17" xfId="0" applyFont="1" applyFill="1" applyBorder="1" applyAlignment="1">
      <alignment vertical="top" wrapText="1"/>
    </xf>
    <xf numFmtId="0" fontId="6" fillId="0" borderId="44" xfId="0" applyFont="1" applyFill="1" applyBorder="1"/>
    <xf numFmtId="0" fontId="6" fillId="0" borderId="99" xfId="0" applyFont="1" applyFill="1" applyBorder="1"/>
    <xf numFmtId="0" fontId="6" fillId="0" borderId="100" xfId="0" applyFont="1" applyFill="1" applyBorder="1"/>
    <xf numFmtId="167" fontId="6" fillId="0" borderId="10" xfId="1" applyNumberFormat="1" applyFont="1" applyFill="1" applyBorder="1"/>
    <xf numFmtId="0" fontId="6" fillId="0" borderId="17" xfId="0" applyFont="1" applyFill="1" applyBorder="1"/>
    <xf numFmtId="167" fontId="6" fillId="0" borderId="25" xfId="1" applyNumberFormat="1" applyFont="1" applyFill="1" applyBorder="1"/>
    <xf numFmtId="0" fontId="6" fillId="0" borderId="19" xfId="0" applyFont="1" applyFill="1" applyBorder="1" applyAlignment="1">
      <alignment horizontal="left" vertical="center" wrapText="1"/>
    </xf>
    <xf numFmtId="0" fontId="6" fillId="0" borderId="92" xfId="0" applyFont="1" applyFill="1" applyBorder="1" applyAlignment="1">
      <alignment vertical="center" wrapText="1"/>
    </xf>
    <xf numFmtId="0" fontId="6" fillId="0" borderId="104" xfId="0" applyFont="1" applyFill="1" applyBorder="1" applyAlignment="1">
      <alignment vertical="center" wrapText="1"/>
    </xf>
    <xf numFmtId="164" fontId="6" fillId="0" borderId="9" xfId="1" applyNumberFormat="1" applyFont="1" applyFill="1" applyBorder="1" applyAlignment="1">
      <alignment horizontal="right" vertical="center" wrapText="1"/>
    </xf>
    <xf numFmtId="0" fontId="6" fillId="0" borderId="92" xfId="0" applyNumberFormat="1" applyFont="1" applyFill="1" applyBorder="1" applyAlignment="1">
      <alignment vertical="center" wrapText="1" shrinkToFit="1"/>
    </xf>
    <xf numFmtId="0" fontId="6" fillId="0" borderId="92" xfId="0" applyFont="1" applyFill="1" applyBorder="1" applyAlignment="1">
      <alignment horizontal="left" vertical="center" wrapText="1"/>
    </xf>
    <xf numFmtId="0" fontId="6" fillId="0" borderId="92" xfId="0" applyNumberFormat="1" applyFont="1" applyFill="1" applyBorder="1" applyAlignment="1">
      <alignment vertical="center" wrapText="1"/>
    </xf>
    <xf numFmtId="0" fontId="6" fillId="0" borderId="19" xfId="0" applyFont="1" applyFill="1" applyBorder="1" applyAlignment="1">
      <alignment horizontal="left" vertical="center"/>
    </xf>
    <xf numFmtId="167" fontId="6" fillId="0" borderId="0" xfId="0" applyNumberFormat="1" applyFont="1" applyFill="1"/>
    <xf numFmtId="0" fontId="6" fillId="0" borderId="0" xfId="0" applyFont="1" applyFill="1" applyAlignment="1">
      <alignment vertical="top" wrapText="1"/>
    </xf>
    <xf numFmtId="164" fontId="6" fillId="0" borderId="1" xfId="1" applyNumberFormat="1" applyFont="1" applyFill="1" applyBorder="1" applyAlignment="1">
      <alignment horizontal="right" vertical="center" wrapText="1"/>
    </xf>
    <xf numFmtId="0" fontId="6" fillId="0" borderId="0" xfId="0" applyFont="1" applyFill="1" applyAlignment="1">
      <alignment horizontal="left"/>
    </xf>
    <xf numFmtId="0" fontId="7" fillId="0" borderId="0" xfId="0" applyFont="1" applyFill="1" applyAlignment="1"/>
    <xf numFmtId="0" fontId="7" fillId="0" borderId="15" xfId="0" applyFont="1" applyFill="1" applyBorder="1" applyAlignment="1">
      <alignment horizontal="center" vertical="center" wrapText="1"/>
    </xf>
    <xf numFmtId="0" fontId="7" fillId="0" borderId="0" xfId="0" applyFont="1" applyFill="1" applyAlignment="1">
      <alignment horizontal="center"/>
    </xf>
    <xf numFmtId="164" fontId="7" fillId="0" borderId="1" xfId="1" applyNumberFormat="1" applyFont="1" applyFill="1" applyBorder="1" applyAlignment="1">
      <alignment horizontal="righ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justify" vertical="center" wrapText="1"/>
    </xf>
    <xf numFmtId="167" fontId="7" fillId="0" borderId="17" xfId="1" applyNumberFormat="1" applyFont="1" applyFill="1" applyBorder="1" applyAlignment="1">
      <alignment horizontal="right" vertical="center" wrapText="1"/>
    </xf>
    <xf numFmtId="0" fontId="7" fillId="0" borderId="15" xfId="0" applyFont="1" applyFill="1" applyBorder="1" applyAlignment="1">
      <alignment vertical="center" wrapText="1"/>
    </xf>
    <xf numFmtId="0" fontId="7" fillId="0" borderId="15" xfId="0" applyFont="1" applyFill="1" applyBorder="1" applyAlignment="1">
      <alignment horizontal="justify" vertical="center" wrapText="1"/>
    </xf>
    <xf numFmtId="0" fontId="7" fillId="0" borderId="1" xfId="0" applyFont="1" applyFill="1" applyBorder="1" applyAlignment="1">
      <alignment vertical="top" wrapText="1"/>
    </xf>
    <xf numFmtId="167" fontId="7" fillId="0" borderId="1" xfId="1" applyNumberFormat="1" applyFont="1" applyFill="1" applyBorder="1" applyAlignment="1">
      <alignment horizontal="right" vertical="top" wrapText="1"/>
    </xf>
    <xf numFmtId="164" fontId="7" fillId="0" borderId="1" xfId="1" applyFont="1" applyFill="1" applyBorder="1" applyAlignment="1">
      <alignment horizontal="right" vertical="top" wrapText="1"/>
    </xf>
    <xf numFmtId="0" fontId="7" fillId="0" borderId="15" xfId="0" applyFont="1" applyFill="1" applyBorder="1" applyAlignment="1">
      <alignment vertical="top" wrapText="1"/>
    </xf>
    <xf numFmtId="167" fontId="7" fillId="0" borderId="15" xfId="1" applyNumberFormat="1" applyFont="1" applyFill="1" applyBorder="1" applyAlignment="1">
      <alignment horizontal="right" vertical="top" wrapText="1"/>
    </xf>
    <xf numFmtId="164" fontId="7" fillId="0" borderId="15" xfId="1" applyFont="1" applyFill="1" applyBorder="1" applyAlignment="1">
      <alignment horizontal="right" vertical="top" wrapText="1"/>
    </xf>
    <xf numFmtId="0" fontId="7" fillId="0" borderId="15" xfId="0" applyFont="1" applyFill="1" applyBorder="1" applyAlignment="1">
      <alignment horizontal="justify" vertical="top" wrapText="1"/>
    </xf>
    <xf numFmtId="167" fontId="7" fillId="0" borderId="0" xfId="1" applyNumberFormat="1" applyFont="1" applyFill="1"/>
    <xf numFmtId="0" fontId="7" fillId="0" borderId="0" xfId="0" applyFont="1" applyFill="1" applyAlignment="1">
      <alignment horizontal="center" vertical="center"/>
    </xf>
    <xf numFmtId="0" fontId="7" fillId="0" borderId="0" xfId="0" applyFont="1" applyFill="1" applyAlignment="1">
      <alignment horizontal="left" vertical="center"/>
    </xf>
    <xf numFmtId="0" fontId="7" fillId="0" borderId="16" xfId="0" applyFont="1" applyFill="1" applyBorder="1" applyAlignment="1">
      <alignment horizontal="left" vertical="center" wrapText="1"/>
    </xf>
    <xf numFmtId="167" fontId="7" fillId="0" borderId="1" xfId="1"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17" fillId="0" borderId="15" xfId="0" applyFont="1" applyFill="1" applyBorder="1" applyAlignment="1">
      <alignment vertical="center" wrapText="1"/>
    </xf>
    <xf numFmtId="167" fontId="17" fillId="0" borderId="15" xfId="1" applyNumberFormat="1" applyFont="1" applyFill="1" applyBorder="1" applyAlignment="1">
      <alignment horizontal="right" vertical="center" wrapText="1"/>
    </xf>
    <xf numFmtId="171" fontId="7" fillId="0" borderId="0" xfId="0" applyNumberFormat="1" applyFont="1" applyFill="1" applyBorder="1" applyAlignment="1">
      <alignment horizontal="right" vertical="center" wrapText="1"/>
    </xf>
    <xf numFmtId="0" fontId="16" fillId="0" borderId="2" xfId="0" quotePrefix="1" applyFont="1" applyFill="1" applyBorder="1" applyAlignment="1">
      <alignment vertical="center"/>
    </xf>
    <xf numFmtId="4" fontId="6" fillId="0" borderId="61" xfId="0" applyNumberFormat="1" applyFont="1" applyFill="1" applyBorder="1"/>
    <xf numFmtId="4" fontId="6" fillId="0" borderId="62" xfId="0" applyNumberFormat="1" applyFont="1" applyFill="1" applyBorder="1"/>
    <xf numFmtId="4" fontId="6" fillId="0" borderId="50" xfId="0" applyNumberFormat="1" applyFont="1" applyFill="1" applyBorder="1"/>
    <xf numFmtId="4" fontId="6" fillId="0" borderId="52" xfId="0" applyNumberFormat="1" applyFont="1" applyFill="1" applyBorder="1"/>
    <xf numFmtId="4" fontId="29" fillId="0" borderId="49" xfId="1" applyNumberFormat="1" applyFont="1" applyFill="1" applyBorder="1"/>
    <xf numFmtId="4" fontId="29" fillId="0" borderId="0" xfId="1" applyNumberFormat="1" applyFont="1" applyFill="1" applyBorder="1"/>
    <xf numFmtId="4" fontId="6" fillId="0" borderId="49" xfId="1" applyNumberFormat="1" applyFont="1" applyFill="1" applyBorder="1"/>
    <xf numFmtId="4" fontId="6" fillId="0" borderId="0" xfId="0" quotePrefix="1" applyNumberFormat="1" applyFont="1" applyFill="1" applyBorder="1"/>
    <xf numFmtId="4" fontId="6" fillId="0" borderId="50" xfId="1" applyNumberFormat="1" applyFont="1" applyFill="1" applyBorder="1"/>
    <xf numFmtId="164" fontId="6" fillId="0" borderId="98" xfId="1" applyFont="1" applyFill="1" applyBorder="1"/>
    <xf numFmtId="4" fontId="6" fillId="0" borderId="60" xfId="0" applyNumberFormat="1" applyFont="1" applyFill="1" applyBorder="1"/>
    <xf numFmtId="4" fontId="29" fillId="0" borderId="61" xfId="0" applyNumberFormat="1" applyFont="1" applyFill="1" applyBorder="1"/>
    <xf numFmtId="4" fontId="29" fillId="0" borderId="7" xfId="0" applyNumberFormat="1" applyFont="1" applyFill="1" applyBorder="1"/>
    <xf numFmtId="0" fontId="6" fillId="0" borderId="60" xfId="0" applyFont="1" applyFill="1" applyBorder="1"/>
    <xf numFmtId="0" fontId="6" fillId="0" borderId="61" xfId="0" applyFont="1" applyFill="1" applyBorder="1"/>
    <xf numFmtId="4" fontId="6" fillId="0" borderId="2" xfId="0" applyNumberFormat="1" applyFont="1" applyFill="1" applyBorder="1"/>
    <xf numFmtId="4" fontId="6" fillId="0" borderId="16" xfId="0" applyNumberFormat="1" applyFont="1" applyFill="1" applyBorder="1"/>
    <xf numFmtId="0" fontId="29" fillId="0" borderId="60" xfId="0" applyFont="1" applyFill="1" applyBorder="1"/>
    <xf numFmtId="0" fontId="29" fillId="0" borderId="61" xfId="0" applyFont="1" applyFill="1" applyBorder="1"/>
    <xf numFmtId="4" fontId="6" fillId="0" borderId="7" xfId="0" applyNumberFormat="1" applyFont="1" applyFill="1" applyBorder="1"/>
    <xf numFmtId="4" fontId="6" fillId="0" borderId="39" xfId="0" applyNumberFormat="1" applyFont="1" applyFill="1" applyBorder="1"/>
    <xf numFmtId="164" fontId="6" fillId="0" borderId="39" xfId="1" applyFont="1" applyFill="1" applyBorder="1"/>
    <xf numFmtId="0" fontId="8" fillId="0" borderId="27" xfId="0" applyFont="1" applyFill="1" applyBorder="1" applyAlignment="1">
      <alignment vertical="center"/>
    </xf>
    <xf numFmtId="0" fontId="8" fillId="0" borderId="0" xfId="0" applyFont="1" applyFill="1" applyAlignment="1">
      <alignment vertical="center"/>
    </xf>
    <xf numFmtId="0" fontId="8" fillId="0" borderId="19" xfId="0" applyFont="1" applyFill="1" applyBorder="1" applyAlignment="1">
      <alignment vertical="center"/>
    </xf>
    <xf numFmtId="0" fontId="24" fillId="0" borderId="19" xfId="0" applyFont="1" applyFill="1" applyBorder="1" applyAlignment="1">
      <alignment vertical="center"/>
    </xf>
    <xf numFmtId="0" fontId="24" fillId="0" borderId="0" xfId="0" applyFont="1" applyFill="1" applyAlignment="1">
      <alignment vertical="center"/>
    </xf>
    <xf numFmtId="0" fontId="17" fillId="0" borderId="19" xfId="0" applyFont="1" applyFill="1" applyBorder="1" applyAlignment="1">
      <alignment horizontal="center" vertical="center"/>
    </xf>
    <xf numFmtId="0" fontId="8" fillId="0" borderId="0" xfId="0" applyFont="1" applyFill="1" applyBorder="1" applyAlignment="1">
      <alignment vertical="center"/>
    </xf>
    <xf numFmtId="0" fontId="17" fillId="0" borderId="19" xfId="0" applyFont="1" applyFill="1" applyBorder="1" applyAlignment="1">
      <alignment vertical="center"/>
    </xf>
    <xf numFmtId="0" fontId="17" fillId="0" borderId="21" xfId="0" applyFont="1" applyFill="1" applyBorder="1" applyAlignment="1">
      <alignment horizontal="center" vertical="center"/>
    </xf>
    <xf numFmtId="0" fontId="8" fillId="0" borderId="25" xfId="0" applyFont="1" applyFill="1" applyBorder="1" applyAlignment="1">
      <alignment vertical="center"/>
    </xf>
    <xf numFmtId="167" fontId="8" fillId="0" borderId="25" xfId="1" applyNumberFormat="1" applyFont="1" applyFill="1" applyBorder="1" applyAlignment="1">
      <alignment vertical="center"/>
    </xf>
    <xf numFmtId="0" fontId="8" fillId="0" borderId="22" xfId="0" applyFont="1" applyFill="1" applyBorder="1" applyAlignment="1">
      <alignment vertical="center"/>
    </xf>
    <xf numFmtId="167" fontId="8" fillId="0" borderId="0" xfId="1" applyNumberFormat="1" applyFont="1" applyFill="1" applyAlignment="1">
      <alignment vertical="center"/>
    </xf>
    <xf numFmtId="164" fontId="6" fillId="0" borderId="14" xfId="1" applyFont="1" applyFill="1" applyBorder="1" applyAlignment="1">
      <alignment vertical="center"/>
    </xf>
    <xf numFmtId="164" fontId="29" fillId="0" borderId="4" xfId="1" applyFont="1" applyFill="1" applyBorder="1" applyAlignment="1">
      <alignment vertical="center" wrapText="1"/>
    </xf>
    <xf numFmtId="164" fontId="6" fillId="0" borderId="4" xfId="1" applyFont="1" applyFill="1" applyBorder="1" applyAlignment="1"/>
    <xf numFmtId="167" fontId="29" fillId="0" borderId="18" xfId="1" applyNumberFormat="1" applyFont="1" applyFill="1" applyBorder="1" applyAlignment="1">
      <alignment horizontal="left" vertical="center"/>
    </xf>
    <xf numFmtId="167" fontId="29" fillId="0" borderId="44" xfId="1" applyNumberFormat="1" applyFont="1" applyFill="1" applyBorder="1" applyAlignment="1">
      <alignment horizontal="left" vertical="center"/>
    </xf>
    <xf numFmtId="0" fontId="6" fillId="0" borderId="45" xfId="0" applyFont="1" applyFill="1" applyBorder="1" applyAlignment="1">
      <alignment vertical="center"/>
    </xf>
    <xf numFmtId="167" fontId="6" fillId="0" borderId="45" xfId="1" applyNumberFormat="1" applyFont="1" applyFill="1" applyBorder="1" applyAlignment="1">
      <alignment vertical="center"/>
    </xf>
    <xf numFmtId="167" fontId="29" fillId="0" borderId="18" xfId="1" applyNumberFormat="1" applyFont="1" applyFill="1" applyBorder="1" applyAlignment="1">
      <alignment horizontal="center" vertical="center"/>
    </xf>
    <xf numFmtId="167" fontId="29" fillId="0" borderId="97" xfId="1" applyNumberFormat="1" applyFont="1" applyFill="1" applyBorder="1" applyAlignment="1">
      <alignment horizontal="center" vertical="center"/>
    </xf>
    <xf numFmtId="167" fontId="6" fillId="0" borderId="2" xfId="1" applyNumberFormat="1" applyFont="1" applyFill="1" applyBorder="1" applyAlignment="1">
      <alignment vertical="center" wrapText="1"/>
    </xf>
    <xf numFmtId="0" fontId="6" fillId="0" borderId="5" xfId="0" applyFont="1" applyFill="1" applyBorder="1" applyAlignment="1">
      <alignment horizontal="left" vertical="center" wrapText="1"/>
    </xf>
    <xf numFmtId="0" fontId="6" fillId="0" borderId="18" xfId="0" applyFont="1" applyFill="1" applyBorder="1" applyAlignment="1">
      <alignment horizontal="center" vertical="center"/>
    </xf>
    <xf numFmtId="167" fontId="6" fillId="0" borderId="0" xfId="0" applyNumberFormat="1" applyFont="1" applyFill="1" applyAlignment="1">
      <alignment vertical="center"/>
    </xf>
    <xf numFmtId="164" fontId="6" fillId="0" borderId="0" xfId="1" applyFont="1" applyFill="1" applyAlignment="1">
      <alignment vertical="center" wrapText="1"/>
    </xf>
    <xf numFmtId="0" fontId="29" fillId="0" borderId="21" xfId="0" applyFont="1" applyFill="1" applyBorder="1" applyAlignment="1">
      <alignment horizontal="center" vertical="center" wrapText="1"/>
    </xf>
    <xf numFmtId="0" fontId="6" fillId="0" borderId="25" xfId="0" applyFont="1" applyFill="1" applyBorder="1" applyAlignment="1">
      <alignment vertical="center" wrapText="1"/>
    </xf>
    <xf numFmtId="167" fontId="6" fillId="0" borderId="25" xfId="1" applyNumberFormat="1" applyFont="1" applyFill="1" applyBorder="1" applyAlignment="1">
      <alignment vertical="center" wrapText="1"/>
    </xf>
    <xf numFmtId="0" fontId="29" fillId="0" borderId="9" xfId="0" applyFont="1" applyFill="1" applyBorder="1" applyAlignment="1">
      <alignment horizontal="left"/>
    </xf>
    <xf numFmtId="0" fontId="29" fillId="0" borderId="9" xfId="0" applyFont="1" applyFill="1" applyBorder="1" applyAlignment="1">
      <alignment horizontal="center"/>
    </xf>
    <xf numFmtId="0" fontId="29" fillId="0" borderId="18"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19" xfId="0" applyFont="1" applyFill="1" applyBorder="1" applyAlignment="1">
      <alignment horizontal="center" vertical="center"/>
    </xf>
    <xf numFmtId="0" fontId="29" fillId="0" borderId="0" xfId="0" applyFont="1" applyFill="1" applyBorder="1" applyAlignment="1">
      <alignment horizontal="center"/>
    </xf>
    <xf numFmtId="167" fontId="29" fillId="0" borderId="0" xfId="1" applyNumberFormat="1" applyFont="1" applyFill="1" applyBorder="1" applyAlignment="1">
      <alignment horizontal="center" vertical="center"/>
    </xf>
    <xf numFmtId="0" fontId="17" fillId="0" borderId="18" xfId="0" quotePrefix="1" applyFont="1" applyFill="1" applyBorder="1" applyAlignment="1">
      <alignment horizontal="center" vertical="center"/>
    </xf>
    <xf numFmtId="0" fontId="7" fillId="0" borderId="0" xfId="0" applyFont="1" applyFill="1" applyBorder="1" applyAlignment="1">
      <alignment horizontal="left" vertical="center" wrapText="1"/>
    </xf>
    <xf numFmtId="0" fontId="6" fillId="0" borderId="0" xfId="0" applyFont="1" applyFill="1" applyBorder="1" applyAlignment="1">
      <alignment vertical="center"/>
    </xf>
    <xf numFmtId="167" fontId="29" fillId="0" borderId="5" xfId="1" applyNumberFormat="1" applyFont="1" applyFill="1" applyBorder="1" applyAlignment="1">
      <alignment horizontal="right" vertical="center" wrapText="1"/>
    </xf>
    <xf numFmtId="0" fontId="29" fillId="0" borderId="0" xfId="0" applyFont="1" applyFill="1" applyAlignment="1">
      <alignment horizontal="center" vertical="center"/>
    </xf>
    <xf numFmtId="0" fontId="17" fillId="0" borderId="0" xfId="0" applyFont="1" applyFill="1" applyAlignment="1">
      <alignment horizontal="center" vertical="center"/>
    </xf>
    <xf numFmtId="4" fontId="38" fillId="0" borderId="0" xfId="0" applyNumberFormat="1" applyFont="1" applyFill="1" applyBorder="1"/>
    <xf numFmtId="4" fontId="6" fillId="0" borderId="44" xfId="0" applyNumberFormat="1" applyFont="1" applyFill="1" applyBorder="1"/>
    <xf numFmtId="4" fontId="6" fillId="0" borderId="45" xfId="0" applyNumberFormat="1" applyFont="1" applyFill="1" applyBorder="1"/>
    <xf numFmtId="4" fontId="6" fillId="0" borderId="18" xfId="0" applyNumberFormat="1" applyFont="1" applyFill="1" applyBorder="1"/>
    <xf numFmtId="4" fontId="6" fillId="0" borderId="21" xfId="0" applyNumberFormat="1" applyFont="1" applyFill="1" applyBorder="1"/>
    <xf numFmtId="4" fontId="6" fillId="0" borderId="25" xfId="0" applyNumberFormat="1" applyFont="1" applyFill="1" applyBorder="1"/>
    <xf numFmtId="4" fontId="6" fillId="0" borderId="111" xfId="0" applyNumberFormat="1" applyFont="1" applyFill="1" applyBorder="1"/>
    <xf numFmtId="4" fontId="6" fillId="0" borderId="112" xfId="0" applyNumberFormat="1" applyFont="1" applyFill="1" applyBorder="1"/>
    <xf numFmtId="4" fontId="6" fillId="0" borderId="1" xfId="0" applyNumberFormat="1" applyFont="1" applyFill="1" applyBorder="1"/>
    <xf numFmtId="4" fontId="6" fillId="0" borderId="114" xfId="0" applyNumberFormat="1" applyFont="1" applyFill="1" applyBorder="1"/>
    <xf numFmtId="4" fontId="6" fillId="0" borderId="100" xfId="0" applyNumberFormat="1" applyFont="1" applyFill="1" applyBorder="1"/>
    <xf numFmtId="0" fontId="39" fillId="0" borderId="0" xfId="0" applyFont="1" applyFill="1" applyBorder="1"/>
    <xf numFmtId="165" fontId="39" fillId="0" borderId="0" xfId="1" applyNumberFormat="1" applyFont="1" applyFill="1" applyBorder="1"/>
    <xf numFmtId="165" fontId="29" fillId="0" borderId="0" xfId="1" applyNumberFormat="1" applyFont="1" applyFill="1" applyBorder="1" applyAlignment="1">
      <alignment horizontal="center"/>
    </xf>
    <xf numFmtId="165" fontId="39" fillId="0" borderId="19" xfId="1" applyNumberFormat="1" applyFont="1" applyFill="1" applyBorder="1"/>
    <xf numFmtId="165" fontId="39" fillId="0" borderId="0" xfId="1" applyNumberFormat="1" applyFont="1" applyFill="1"/>
    <xf numFmtId="173" fontId="7" fillId="0" borderId="7" xfId="1" applyNumberFormat="1" applyFont="1" applyFill="1" applyBorder="1"/>
    <xf numFmtId="0" fontId="7" fillId="0" borderId="25" xfId="0" applyFont="1" applyFill="1" applyBorder="1"/>
    <xf numFmtId="0" fontId="7" fillId="0" borderId="25" xfId="0" applyFont="1" applyFill="1" applyBorder="1" applyAlignment="1">
      <alignment wrapText="1"/>
    </xf>
    <xf numFmtId="173" fontId="7" fillId="0" borderId="25" xfId="1" applyNumberFormat="1" applyFont="1" applyFill="1" applyBorder="1"/>
    <xf numFmtId="173" fontId="6" fillId="0" borderId="25" xfId="1" applyNumberFormat="1" applyFont="1" applyFill="1" applyBorder="1"/>
    <xf numFmtId="0" fontId="7" fillId="0" borderId="22" xfId="0" applyFont="1" applyFill="1" applyBorder="1"/>
    <xf numFmtId="173" fontId="40" fillId="0" borderId="0" xfId="1" applyNumberFormat="1" applyFont="1" applyFill="1" applyBorder="1"/>
    <xf numFmtId="3" fontId="29" fillId="0" borderId="0" xfId="0" applyNumberFormat="1" applyFont="1" applyFill="1" applyBorder="1"/>
    <xf numFmtId="0" fontId="35" fillId="0" borderId="0" xfId="0" applyFont="1" applyFill="1" applyAlignment="1">
      <alignment vertical="center"/>
    </xf>
    <xf numFmtId="0" fontId="6" fillId="0" borderId="0" xfId="0" applyFont="1" applyFill="1" applyAlignment="1">
      <alignment horizontal="left" vertical="center" wrapText="1"/>
    </xf>
    <xf numFmtId="43" fontId="29" fillId="0" borderId="7" xfId="0" applyNumberFormat="1" applyFont="1" applyFill="1" applyBorder="1"/>
    <xf numFmtId="0" fontId="35" fillId="0" borderId="0" xfId="0" applyFont="1" applyFill="1"/>
    <xf numFmtId="0" fontId="6" fillId="0" borderId="0" xfId="0" applyNumberFormat="1" applyFont="1" applyFill="1" applyAlignment="1">
      <alignment wrapText="1"/>
    </xf>
    <xf numFmtId="0" fontId="34" fillId="0" borderId="0" xfId="0" applyFont="1" applyFill="1" applyAlignment="1">
      <alignment wrapText="1"/>
    </xf>
    <xf numFmtId="0" fontId="6" fillId="0" borderId="0" xfId="0" quotePrefix="1" applyFont="1" applyFill="1" applyAlignment="1">
      <alignment wrapText="1"/>
    </xf>
    <xf numFmtId="0" fontId="5" fillId="0" borderId="0" xfId="0" applyFont="1" applyFill="1" applyBorder="1" applyAlignment="1">
      <alignment vertical="center" wrapText="1"/>
    </xf>
    <xf numFmtId="164" fontId="0" fillId="0" borderId="0" xfId="1" applyFont="1"/>
    <xf numFmtId="167" fontId="0" fillId="0" borderId="0" xfId="1" applyNumberFormat="1" applyFont="1"/>
    <xf numFmtId="167" fontId="43" fillId="0" borderId="0" xfId="1" applyNumberFormat="1" applyFont="1"/>
    <xf numFmtId="0" fontId="44" fillId="0" borderId="0" xfId="0" applyFont="1"/>
    <xf numFmtId="0" fontId="46" fillId="0" borderId="0" xfId="0" applyFont="1"/>
    <xf numFmtId="164" fontId="43" fillId="0" borderId="0" xfId="1" applyFont="1"/>
    <xf numFmtId="167" fontId="45" fillId="0" borderId="0" xfId="1" applyNumberFormat="1" applyFont="1"/>
    <xf numFmtId="164" fontId="45" fillId="0" borderId="0" xfId="1" applyFont="1"/>
    <xf numFmtId="0" fontId="44" fillId="0" borderId="2" xfId="0" applyFont="1" applyBorder="1"/>
    <xf numFmtId="167" fontId="44" fillId="0" borderId="2" xfId="1" applyNumberFormat="1" applyFont="1" applyBorder="1"/>
    <xf numFmtId="164" fontId="44" fillId="0" borderId="2" xfId="1" applyFont="1" applyBorder="1"/>
    <xf numFmtId="167" fontId="6" fillId="0" borderId="0" xfId="0" applyNumberFormat="1" applyFont="1" applyFill="1" applyAlignment="1"/>
    <xf numFmtId="0" fontId="6" fillId="0" borderId="0" xfId="0" applyFont="1" applyFill="1" applyBorder="1" applyAlignment="1">
      <alignment horizontal="left" vertical="top" wrapText="1"/>
    </xf>
    <xf numFmtId="164" fontId="6" fillId="0" borderId="19" xfId="1" applyFont="1" applyFill="1" applyBorder="1"/>
    <xf numFmtId="164" fontId="6" fillId="0" borderId="22" xfId="1" applyFont="1" applyFill="1" applyBorder="1"/>
    <xf numFmtId="164" fontId="6" fillId="0" borderId="113" xfId="1" applyFont="1" applyFill="1" applyBorder="1"/>
    <xf numFmtId="164" fontId="6" fillId="0" borderId="115" xfId="1" applyFont="1" applyFill="1" applyBorder="1"/>
    <xf numFmtId="164" fontId="6" fillId="0" borderId="2" xfId="1" applyFont="1" applyFill="1" applyBorder="1"/>
    <xf numFmtId="164" fontId="29" fillId="0" borderId="61" xfId="1" applyFont="1" applyFill="1" applyBorder="1"/>
    <xf numFmtId="164" fontId="29" fillId="0" borderId="26" xfId="1" applyFont="1" applyFill="1" applyBorder="1" applyAlignment="1">
      <alignment horizontal="center" vertical="top" wrapText="1"/>
    </xf>
    <xf numFmtId="164" fontId="29" fillId="0" borderId="0" xfId="1" applyFont="1" applyFill="1" applyBorder="1" applyAlignment="1">
      <alignment horizontal="center" vertical="top"/>
    </xf>
    <xf numFmtId="164" fontId="6" fillId="0" borderId="13" xfId="1" applyFont="1" applyFill="1" applyBorder="1" applyAlignment="1">
      <alignment horizontal="right" vertical="top"/>
    </xf>
    <xf numFmtId="164" fontId="6" fillId="0" borderId="5" xfId="1" applyFont="1" applyFill="1" applyBorder="1" applyAlignment="1">
      <alignment horizontal="right" vertical="top"/>
    </xf>
    <xf numFmtId="164" fontId="29" fillId="0" borderId="7" xfId="1" applyFont="1" applyFill="1" applyBorder="1" applyAlignment="1">
      <alignment horizontal="right" vertical="top"/>
    </xf>
    <xf numFmtId="164" fontId="6" fillId="0" borderId="2" xfId="1" applyFont="1" applyFill="1" applyBorder="1" applyAlignment="1">
      <alignment horizontal="right" vertical="top"/>
    </xf>
    <xf numFmtId="164" fontId="29" fillId="0" borderId="25" xfId="1" applyFont="1" applyFill="1" applyBorder="1" applyAlignment="1">
      <alignment horizontal="right" vertical="top"/>
    </xf>
    <xf numFmtId="164" fontId="6" fillId="0" borderId="0" xfId="1" applyFont="1" applyFill="1" applyBorder="1" applyAlignment="1">
      <alignment vertical="top" wrapText="1"/>
    </xf>
    <xf numFmtId="164" fontId="6" fillId="0" borderId="6" xfId="1" applyFont="1" applyFill="1" applyBorder="1" applyAlignment="1"/>
    <xf numFmtId="164" fontId="29" fillId="0" borderId="15" xfId="1" applyFont="1" applyFill="1" applyBorder="1" applyAlignment="1">
      <alignment horizontal="center" vertical="center" wrapText="1"/>
    </xf>
    <xf numFmtId="164" fontId="29" fillId="0" borderId="15" xfId="1" applyFont="1" applyFill="1" applyBorder="1" applyAlignment="1">
      <alignment vertical="center" wrapText="1"/>
    </xf>
    <xf numFmtId="164" fontId="29" fillId="0" borderId="4" xfId="1" applyFont="1" applyFill="1" applyBorder="1" applyAlignment="1">
      <alignment horizontal="center" vertical="center" wrapText="1"/>
    </xf>
    <xf numFmtId="164" fontId="29" fillId="0" borderId="4" xfId="1" applyFont="1" applyFill="1" applyBorder="1" applyAlignment="1">
      <alignment horizontal="right" vertical="center" wrapText="1"/>
    </xf>
    <xf numFmtId="164" fontId="6" fillId="0" borderId="16" xfId="1" applyFont="1" applyFill="1" applyBorder="1" applyAlignment="1">
      <alignment horizontal="right" vertical="center" wrapText="1"/>
    </xf>
    <xf numFmtId="164" fontId="6" fillId="0" borderId="12" xfId="1" applyFont="1" applyFill="1" applyBorder="1" applyAlignment="1">
      <alignment horizontal="right" vertical="center" wrapText="1"/>
    </xf>
    <xf numFmtId="164" fontId="6" fillId="0" borderId="12" xfId="1" applyFont="1" applyFill="1" applyBorder="1" applyAlignment="1">
      <alignment vertical="center" wrapText="1"/>
    </xf>
    <xf numFmtId="164" fontId="6" fillId="0" borderId="14" xfId="1" applyFont="1" applyFill="1" applyBorder="1" applyAlignment="1">
      <alignment horizontal="right" vertical="center" wrapText="1"/>
    </xf>
    <xf numFmtId="164" fontId="6" fillId="0" borderId="1" xfId="1" applyFont="1" applyFill="1" applyBorder="1" applyAlignment="1">
      <alignment horizontal="right" vertical="center" wrapText="1"/>
    </xf>
    <xf numFmtId="164" fontId="6" fillId="0" borderId="9" xfId="1" applyFont="1" applyFill="1" applyBorder="1" applyAlignment="1">
      <alignment horizontal="right" vertical="center" wrapText="1"/>
    </xf>
    <xf numFmtId="164" fontId="6" fillId="0" borderId="9" xfId="1" applyFont="1" applyFill="1" applyBorder="1" applyAlignment="1">
      <alignment vertical="center" wrapText="1"/>
    </xf>
    <xf numFmtId="164" fontId="6" fillId="0" borderId="4" xfId="1" applyFont="1" applyFill="1" applyBorder="1" applyAlignment="1">
      <alignment horizontal="right" vertical="center" wrapText="1"/>
    </xf>
    <xf numFmtId="164" fontId="6" fillId="0" borderId="0" xfId="1" applyFont="1" applyFill="1" applyBorder="1" applyAlignment="1">
      <alignment horizontal="center" vertical="center" wrapText="1"/>
    </xf>
    <xf numFmtId="164" fontId="6" fillId="0" borderId="1" xfId="1" applyFont="1" applyFill="1" applyBorder="1" applyAlignment="1">
      <alignment horizontal="center" vertical="center" wrapText="1"/>
    </xf>
    <xf numFmtId="164" fontId="6" fillId="0" borderId="15" xfId="1" applyFont="1" applyFill="1" applyBorder="1" applyAlignment="1">
      <alignment horizontal="right" vertical="center" wrapText="1"/>
    </xf>
    <xf numFmtId="164" fontId="6" fillId="0" borderId="8" xfId="1" applyFont="1" applyFill="1" applyBorder="1" applyAlignment="1">
      <alignment horizontal="right" vertical="center" wrapText="1"/>
    </xf>
    <xf numFmtId="164" fontId="6" fillId="0" borderId="8" xfId="1" applyFont="1" applyFill="1" applyBorder="1" applyAlignment="1">
      <alignment vertical="center" wrapText="1"/>
    </xf>
    <xf numFmtId="164" fontId="6" fillId="0" borderId="6" xfId="1" applyFont="1" applyFill="1" applyBorder="1" applyAlignment="1">
      <alignment horizontal="right" vertical="center" wrapText="1"/>
    </xf>
    <xf numFmtId="164" fontId="29" fillId="0" borderId="6" xfId="1" applyFont="1" applyFill="1" applyBorder="1" applyAlignment="1">
      <alignment horizontal="right" vertical="center" wrapText="1"/>
    </xf>
    <xf numFmtId="0" fontId="17" fillId="0" borderId="0" xfId="0" applyFont="1" applyFill="1" applyBorder="1" applyAlignment="1">
      <alignment horizontal="left" vertical="center" wrapText="1"/>
    </xf>
    <xf numFmtId="0" fontId="29" fillId="0" borderId="2" xfId="0" applyFont="1" applyFill="1" applyBorder="1" applyAlignment="1">
      <alignment horizontal="center" vertical="center" wrapText="1"/>
    </xf>
    <xf numFmtId="172" fontId="6" fillId="0" borderId="0" xfId="0" applyNumberFormat="1" applyFont="1" applyFill="1" applyBorder="1"/>
    <xf numFmtId="0" fontId="6" fillId="0" borderId="0" xfId="0" applyFont="1" applyFill="1" applyAlignment="1">
      <alignment horizontal="center" vertical="center"/>
    </xf>
    <xf numFmtId="0" fontId="6" fillId="0" borderId="2"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horizontal="left" vertical="center"/>
    </xf>
    <xf numFmtId="167" fontId="5" fillId="0" borderId="0" xfId="1" applyNumberFormat="1" applyFont="1" applyFill="1" applyBorder="1" applyAlignment="1">
      <alignment vertical="center"/>
    </xf>
    <xf numFmtId="0" fontId="5" fillId="0" borderId="70" xfId="0" applyFont="1" applyFill="1" applyBorder="1" applyAlignment="1">
      <alignment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justify" vertical="center" wrapText="1"/>
    </xf>
    <xf numFmtId="164" fontId="5" fillId="0" borderId="0" xfId="1" applyFont="1" applyFill="1" applyBorder="1" applyAlignment="1"/>
    <xf numFmtId="167" fontId="5" fillId="0" borderId="5" xfId="1" applyNumberFormat="1" applyFont="1" applyFill="1" applyBorder="1" applyAlignment="1">
      <alignment vertical="center"/>
    </xf>
    <xf numFmtId="0" fontId="5" fillId="0" borderId="70" xfId="0" applyFont="1" applyFill="1" applyBorder="1" applyAlignment="1">
      <alignment horizontal="justify" vertical="center" wrapText="1"/>
    </xf>
    <xf numFmtId="0" fontId="5" fillId="0" borderId="5" xfId="0" applyFont="1" applyFill="1" applyBorder="1" applyAlignment="1">
      <alignment horizontal="left" vertical="center"/>
    </xf>
    <xf numFmtId="0" fontId="5" fillId="0" borderId="5" xfId="0" applyFont="1" applyFill="1" applyBorder="1" applyAlignment="1">
      <alignment vertical="center"/>
    </xf>
    <xf numFmtId="0" fontId="5" fillId="0" borderId="72" xfId="0" applyFont="1" applyFill="1" applyBorder="1" applyAlignment="1">
      <alignment vertical="center"/>
    </xf>
    <xf numFmtId="0" fontId="5" fillId="0" borderId="0" xfId="0" applyFont="1" applyFill="1" applyAlignment="1">
      <alignment vertical="center" wrapText="1"/>
    </xf>
    <xf numFmtId="167" fontId="5" fillId="0" borderId="0" xfId="0" applyNumberFormat="1" applyFont="1" applyFill="1" applyAlignment="1">
      <alignment vertical="center" wrapText="1"/>
    </xf>
    <xf numFmtId="0" fontId="5" fillId="0" borderId="77" xfId="0" applyFont="1" applyFill="1" applyBorder="1" applyAlignment="1">
      <alignment vertical="center" wrapText="1"/>
    </xf>
    <xf numFmtId="167" fontId="5" fillId="0" borderId="77" xfId="0" applyNumberFormat="1" applyFont="1" applyFill="1" applyBorder="1" applyAlignment="1">
      <alignment vertical="center" wrapText="1"/>
    </xf>
    <xf numFmtId="0" fontId="5" fillId="0" borderId="78" xfId="0" applyFont="1" applyFill="1" applyBorder="1" applyAlignment="1">
      <alignment vertical="center" wrapText="1"/>
    </xf>
    <xf numFmtId="0" fontId="35" fillId="0" borderId="0" xfId="0" applyFont="1" applyFill="1" applyProtection="1"/>
    <xf numFmtId="0" fontId="6" fillId="0" borderId="0" xfId="0" applyFont="1" applyFill="1" applyProtection="1"/>
    <xf numFmtId="0" fontId="29" fillId="0" borderId="0" xfId="0" applyFont="1" applyFill="1" applyProtection="1"/>
    <xf numFmtId="0" fontId="6" fillId="0" borderId="0" xfId="0" applyFont="1" applyFill="1" applyAlignment="1" applyProtection="1">
      <alignment horizontal="left"/>
    </xf>
    <xf numFmtId="0" fontId="7" fillId="0" borderId="0" xfId="0" applyFont="1" applyFill="1" applyAlignment="1">
      <alignment horizontal="center" vertical="center"/>
    </xf>
    <xf numFmtId="0" fontId="17" fillId="0" borderId="2" xfId="0" applyFont="1" applyFill="1" applyBorder="1" applyAlignment="1">
      <alignment horizontal="center" vertical="center" wrapText="1"/>
    </xf>
    <xf numFmtId="0" fontId="38" fillId="0" borderId="0" xfId="0" applyFont="1" applyFill="1" applyBorder="1"/>
    <xf numFmtId="0" fontId="47" fillId="0" borderId="0" xfId="0" applyFont="1" applyFill="1" applyBorder="1" applyAlignment="1">
      <alignment vertical="center"/>
    </xf>
    <xf numFmtId="167" fontId="5" fillId="0" borderId="1" xfId="1" applyNumberFormat="1" applyFont="1" applyFill="1" applyBorder="1" applyAlignment="1">
      <alignment horizontal="right" vertical="center" wrapText="1"/>
    </xf>
    <xf numFmtId="0" fontId="5" fillId="0" borderId="1" xfId="0" applyFont="1" applyFill="1" applyBorder="1" applyAlignment="1">
      <alignment vertical="center" wrapText="1"/>
    </xf>
    <xf numFmtId="0" fontId="6" fillId="2" borderId="0" xfId="0" applyFont="1" applyFill="1" applyBorder="1" applyAlignment="1">
      <alignment vertical="center" wrapText="1"/>
    </xf>
    <xf numFmtId="0" fontId="6" fillId="0" borderId="0" xfId="0" applyFont="1" applyFill="1" applyBorder="1" applyAlignment="1"/>
    <xf numFmtId="0" fontId="29" fillId="0" borderId="0" xfId="0" applyFont="1" applyFill="1" applyBorder="1" applyAlignment="1"/>
    <xf numFmtId="0" fontId="6" fillId="0" borderId="0" xfId="0" applyFont="1" applyFill="1" applyBorder="1" applyAlignment="1">
      <alignment vertical="center" wrapText="1"/>
    </xf>
    <xf numFmtId="0" fontId="6" fillId="0" borderId="18" xfId="0" applyFont="1" applyFill="1" applyBorder="1" applyAlignment="1">
      <alignment vertical="center" wrapText="1"/>
    </xf>
    <xf numFmtId="164" fontId="29" fillId="0" borderId="0" xfId="1" quotePrefix="1" applyFont="1" applyFill="1" applyBorder="1" applyAlignment="1">
      <alignment horizontal="center" vertical="center"/>
    </xf>
    <xf numFmtId="164" fontId="29" fillId="0" borderId="0" xfId="1" applyFont="1" applyFill="1" applyBorder="1" applyAlignment="1">
      <alignment horizontal="left" vertical="center" wrapText="1"/>
    </xf>
    <xf numFmtId="164" fontId="6" fillId="0" borderId="16" xfId="1" applyFont="1" applyFill="1" applyBorder="1" applyAlignment="1">
      <alignment vertical="center" wrapText="1"/>
    </xf>
    <xf numFmtId="164" fontId="6" fillId="0" borderId="1" xfId="1" applyFont="1" applyFill="1" applyBorder="1" applyAlignment="1">
      <alignment vertical="center" wrapText="1"/>
    </xf>
    <xf numFmtId="164" fontId="29" fillId="0" borderId="7" xfId="1" applyFont="1" applyFill="1" applyBorder="1" applyAlignment="1">
      <alignment horizontal="center" vertical="center"/>
    </xf>
    <xf numFmtId="164" fontId="6" fillId="0" borderId="27" xfId="1" applyFont="1" applyFill="1" applyBorder="1"/>
    <xf numFmtId="4" fontId="6" fillId="0" borderId="15" xfId="0" applyNumberFormat="1" applyFont="1" applyFill="1" applyBorder="1"/>
    <xf numFmtId="4" fontId="6" fillId="0" borderId="0" xfId="0" applyNumberFormat="1" applyFont="1" applyFill="1"/>
    <xf numFmtId="164" fontId="6" fillId="0" borderId="0" xfId="0" applyNumberFormat="1" applyFont="1" applyFill="1"/>
    <xf numFmtId="0" fontId="17" fillId="2" borderId="69" xfId="0" quotePrefix="1" applyFont="1" applyFill="1" applyBorder="1" applyAlignment="1">
      <alignment horizontal="center" vertical="center"/>
    </xf>
    <xf numFmtId="0" fontId="17" fillId="2" borderId="0" xfId="0" applyFont="1" applyFill="1" applyBorder="1" applyAlignment="1">
      <alignment horizontal="left" vertical="center"/>
    </xf>
    <xf numFmtId="0" fontId="17" fillId="2" borderId="0" xfId="0" applyFont="1" applyFill="1" applyBorder="1" applyAlignment="1">
      <alignment vertical="center" wrapText="1"/>
    </xf>
    <xf numFmtId="0" fontId="7" fillId="2" borderId="0" xfId="3" applyFont="1" applyFill="1" applyBorder="1" applyAlignment="1">
      <alignment vertical="center"/>
    </xf>
    <xf numFmtId="167" fontId="17" fillId="2" borderId="2" xfId="1" quotePrefix="1" applyNumberFormat="1" applyFont="1" applyFill="1" applyBorder="1" applyAlignment="1">
      <alignment horizontal="center" vertical="center"/>
    </xf>
    <xf numFmtId="0" fontId="17" fillId="2" borderId="69" xfId="0" applyFont="1" applyFill="1" applyBorder="1" applyAlignment="1">
      <alignment horizontal="center" vertical="center"/>
    </xf>
    <xf numFmtId="0" fontId="17" fillId="2" borderId="0" xfId="0" applyFont="1" applyFill="1" applyBorder="1" applyAlignment="1">
      <alignment horizontal="center" vertical="center"/>
    </xf>
    <xf numFmtId="167" fontId="17" fillId="2" borderId="0" xfId="1" applyNumberFormat="1" applyFont="1" applyFill="1" applyBorder="1" applyAlignment="1">
      <alignment horizontal="center" vertical="center"/>
    </xf>
    <xf numFmtId="167" fontId="7" fillId="2" borderId="16" xfId="1" applyNumberFormat="1" applyFont="1" applyFill="1" applyBorder="1" applyAlignment="1">
      <alignment vertical="center"/>
    </xf>
    <xf numFmtId="0" fontId="7" fillId="2" borderId="1" xfId="3" applyFont="1" applyFill="1" applyBorder="1" applyAlignment="1">
      <alignment vertical="center"/>
    </xf>
    <xf numFmtId="167" fontId="7" fillId="2" borderId="1" xfId="1" applyNumberFormat="1" applyFont="1" applyFill="1" applyBorder="1" applyAlignment="1">
      <alignment vertical="center"/>
    </xf>
    <xf numFmtId="0" fontId="7" fillId="2" borderId="15" xfId="3" applyFont="1" applyFill="1" applyBorder="1" applyAlignment="1">
      <alignment vertical="center"/>
    </xf>
    <xf numFmtId="167" fontId="7" fillId="2" borderId="15" xfId="1" applyNumberFormat="1" applyFont="1" applyFill="1" applyBorder="1" applyAlignment="1">
      <alignment vertical="center"/>
    </xf>
    <xf numFmtId="0" fontId="7" fillId="2" borderId="0" xfId="0" applyFont="1" applyFill="1" applyBorder="1" applyAlignment="1">
      <alignment horizontal="left" vertical="center" wrapText="1"/>
    </xf>
    <xf numFmtId="167" fontId="7" fillId="2" borderId="0" xfId="1" applyNumberFormat="1" applyFont="1" applyFill="1" applyBorder="1" applyAlignment="1">
      <alignment vertical="center"/>
    </xf>
    <xf numFmtId="167" fontId="17" fillId="2" borderId="7" xfId="1" applyNumberFormat="1" applyFont="1" applyFill="1" applyBorder="1" applyAlignment="1">
      <alignment vertical="center"/>
    </xf>
    <xf numFmtId="0" fontId="7" fillId="2" borderId="0" xfId="0" applyFont="1" applyFill="1" applyBorder="1" applyAlignment="1">
      <alignment vertical="center"/>
    </xf>
    <xf numFmtId="0" fontId="17" fillId="2" borderId="69" xfId="0" applyFont="1" applyFill="1" applyBorder="1" applyAlignment="1">
      <alignment horizontal="justify" vertical="center" wrapText="1"/>
    </xf>
    <xf numFmtId="0" fontId="17" fillId="2" borderId="69" xfId="3" quotePrefix="1" applyFont="1" applyFill="1" applyBorder="1" applyAlignment="1">
      <alignment horizontal="center" vertical="center"/>
    </xf>
    <xf numFmtId="0" fontId="17" fillId="2" borderId="0" xfId="3" quotePrefix="1" applyFont="1" applyFill="1" applyBorder="1" applyAlignment="1">
      <alignment horizontal="center" vertical="center"/>
    </xf>
    <xf numFmtId="0" fontId="7" fillId="2" borderId="69" xfId="3" applyFont="1" applyFill="1" applyBorder="1" applyAlignment="1">
      <alignment vertical="center"/>
    </xf>
    <xf numFmtId="168" fontId="7" fillId="2" borderId="0" xfId="1" applyNumberFormat="1" applyFont="1" applyFill="1" applyBorder="1" applyAlignment="1">
      <alignment vertical="center"/>
    </xf>
    <xf numFmtId="0" fontId="7" fillId="2" borderId="0" xfId="3" applyFont="1" applyFill="1" applyBorder="1" applyAlignment="1">
      <alignment horizontal="justify" vertical="center" wrapText="1"/>
    </xf>
    <xf numFmtId="4" fontId="29" fillId="4" borderId="0" xfId="0" applyNumberFormat="1" applyFont="1" applyFill="1" applyBorder="1"/>
    <xf numFmtId="0" fontId="4" fillId="0" borderId="0" xfId="0" applyFont="1" applyFill="1"/>
    <xf numFmtId="0" fontId="20" fillId="0" borderId="0" xfId="0" applyFont="1" applyFill="1"/>
    <xf numFmtId="0" fontId="4" fillId="0" borderId="0" xfId="0" applyFont="1" applyFill="1" applyProtection="1"/>
    <xf numFmtId="0" fontId="38" fillId="0" borderId="0" xfId="0" applyFont="1" applyFill="1"/>
    <xf numFmtId="1" fontId="29" fillId="5" borderId="0" xfId="0" applyNumberFormat="1" applyFont="1" applyFill="1" applyBorder="1" applyAlignment="1">
      <alignment horizontal="center" vertical="center"/>
    </xf>
    <xf numFmtId="0" fontId="29" fillId="5" borderId="0" xfId="0" applyFont="1" applyFill="1" applyBorder="1" applyAlignment="1">
      <alignment vertical="center"/>
    </xf>
    <xf numFmtId="0" fontId="17" fillId="0" borderId="0" xfId="0" applyFont="1" applyAlignment="1">
      <alignment vertical="center"/>
    </xf>
    <xf numFmtId="0" fontId="29" fillId="5" borderId="0" xfId="0" applyFont="1" applyFill="1" applyBorder="1" applyAlignment="1">
      <alignment horizontal="center" vertical="center"/>
    </xf>
    <xf numFmtId="0" fontId="6" fillId="5" borderId="0" xfId="0" applyFont="1" applyFill="1" applyBorder="1" applyAlignment="1">
      <alignment horizontal="justify" vertical="center" wrapText="1"/>
    </xf>
    <xf numFmtId="0" fontId="29" fillId="5" borderId="0" xfId="0" applyFont="1" applyFill="1" applyBorder="1" applyAlignment="1">
      <alignment vertical="center" wrapText="1"/>
    </xf>
    <xf numFmtId="0" fontId="6" fillId="5" borderId="0" xfId="0" applyFont="1" applyFill="1" applyBorder="1" applyAlignment="1">
      <alignment vertical="center" wrapText="1"/>
    </xf>
    <xf numFmtId="0" fontId="6" fillId="3" borderId="0" xfId="0" applyFont="1" applyFill="1" applyBorder="1" applyAlignment="1">
      <alignment vertical="center" wrapText="1"/>
    </xf>
    <xf numFmtId="0" fontId="17" fillId="0" borderId="0" xfId="0" applyFont="1" applyAlignment="1">
      <alignment horizontal="justify" vertical="center"/>
    </xf>
    <xf numFmtId="0" fontId="29" fillId="5" borderId="0" xfId="0" applyFont="1" applyFill="1" applyAlignment="1">
      <alignment horizontal="justify" vertical="center" wrapText="1"/>
    </xf>
    <xf numFmtId="0" fontId="29" fillId="0" borderId="0" xfId="0" applyFont="1" applyBorder="1" applyAlignment="1">
      <alignment horizontal="center" vertical="center"/>
    </xf>
    <xf numFmtId="0" fontId="6" fillId="3" borderId="0" xfId="0" applyFont="1" applyFill="1" applyBorder="1" applyAlignment="1">
      <alignment horizontal="justify" vertical="center" wrapText="1"/>
    </xf>
    <xf numFmtId="0" fontId="29" fillId="5" borderId="0" xfId="0" applyFont="1" applyFill="1" applyBorder="1" applyAlignment="1">
      <alignment horizontal="justify" vertical="center" wrapText="1"/>
    </xf>
    <xf numFmtId="0" fontId="29" fillId="0" borderId="0" xfId="0" applyFont="1" applyBorder="1" applyAlignment="1">
      <alignment vertical="center"/>
    </xf>
    <xf numFmtId="174" fontId="29" fillId="5" borderId="0" xfId="12" applyFont="1" applyFill="1" applyBorder="1" applyAlignment="1">
      <alignment horizontal="center" vertical="center"/>
    </xf>
    <xf numFmtId="0" fontId="6" fillId="5" borderId="0" xfId="0" applyFont="1" applyFill="1" applyBorder="1" applyAlignment="1">
      <alignment horizontal="left" vertical="center" wrapText="1"/>
    </xf>
    <xf numFmtId="0" fontId="29" fillId="5" borderId="0" xfId="0" quotePrefix="1" applyFont="1" applyFill="1" applyBorder="1" applyAlignment="1">
      <alignment vertical="center"/>
    </xf>
    <xf numFmtId="0" fontId="6" fillId="5" borderId="0" xfId="0" applyFont="1" applyFill="1" applyAlignment="1">
      <alignment horizontal="justify" vertical="center" wrapText="1"/>
    </xf>
    <xf numFmtId="164" fontId="17" fillId="0" borderId="0" xfId="1" applyNumberFormat="1" applyFont="1" applyBorder="1" applyAlignment="1">
      <alignment vertical="center"/>
    </xf>
    <xf numFmtId="0" fontId="17" fillId="0" borderId="0" xfId="0" applyFont="1" applyBorder="1" applyAlignment="1">
      <alignment horizontal="justify" vertical="center" wrapText="1"/>
    </xf>
    <xf numFmtId="0" fontId="6" fillId="0" borderId="0" xfId="0" applyFont="1" applyBorder="1" applyAlignment="1">
      <alignment horizontal="justify" vertical="center" wrapText="1"/>
    </xf>
    <xf numFmtId="0" fontId="10" fillId="0" borderId="0" xfId="0" applyFont="1" applyBorder="1" applyAlignment="1">
      <alignment horizontal="justify" vertical="center" wrapText="1"/>
    </xf>
    <xf numFmtId="0" fontId="42" fillId="3" borderId="0" xfId="0" applyFont="1" applyFill="1" applyBorder="1" applyAlignment="1">
      <alignment vertical="center" wrapText="1"/>
    </xf>
    <xf numFmtId="0" fontId="38" fillId="5" borderId="0" xfId="0" applyFont="1" applyFill="1" applyBorder="1" applyAlignment="1">
      <alignment horizontal="justify" vertical="center" wrapText="1"/>
    </xf>
    <xf numFmtId="0" fontId="20" fillId="0" borderId="70" xfId="0" applyFont="1" applyBorder="1" applyAlignment="1">
      <alignment horizontal="center" vertical="center"/>
    </xf>
    <xf numFmtId="0" fontId="42" fillId="0" borderId="0" xfId="0" applyFont="1" applyFill="1"/>
    <xf numFmtId="0" fontId="42" fillId="0" borderId="18" xfId="0" applyFont="1" applyFill="1" applyBorder="1"/>
    <xf numFmtId="0" fontId="42" fillId="0" borderId="0" xfId="0" applyFont="1" applyFill="1" applyBorder="1"/>
    <xf numFmtId="0" fontId="42" fillId="0" borderId="0" xfId="0" applyFont="1" applyFill="1" applyBorder="1" applyAlignment="1">
      <alignment horizontal="center"/>
    </xf>
    <xf numFmtId="173" fontId="38" fillId="0" borderId="0" xfId="1" applyNumberFormat="1" applyFont="1" applyFill="1" applyBorder="1"/>
    <xf numFmtId="173" fontId="42" fillId="0" borderId="0" xfId="1" applyNumberFormat="1" applyFont="1" applyFill="1" applyBorder="1" applyAlignment="1">
      <alignment horizontal="center"/>
    </xf>
    <xf numFmtId="173" fontId="38" fillId="0" borderId="7" xfId="1" applyNumberFormat="1" applyFont="1" applyFill="1" applyBorder="1"/>
    <xf numFmtId="0" fontId="38" fillId="0" borderId="0" xfId="0" applyFont="1" applyFill="1" applyBorder="1" applyAlignment="1">
      <alignment wrapText="1"/>
    </xf>
    <xf numFmtId="165" fontId="38" fillId="0" borderId="0" xfId="1" applyNumberFormat="1" applyFont="1" applyFill="1" applyBorder="1"/>
    <xf numFmtId="0" fontId="38" fillId="0" borderId="19" xfId="0" applyFont="1" applyFill="1" applyBorder="1"/>
    <xf numFmtId="0" fontId="38" fillId="0" borderId="0" xfId="0" applyFont="1" applyFill="1" applyBorder="1" applyAlignment="1"/>
    <xf numFmtId="0" fontId="42" fillId="0" borderId="18" xfId="0" applyFont="1" applyFill="1" applyBorder="1" applyAlignment="1">
      <alignment horizontal="center" vertical="center"/>
    </xf>
    <xf numFmtId="173" fontId="38" fillId="0" borderId="0" xfId="0" applyNumberFormat="1" applyFont="1" applyFill="1" applyBorder="1"/>
    <xf numFmtId="0" fontId="48" fillId="0" borderId="0" xfId="0" applyFont="1" applyFill="1" applyBorder="1" applyAlignment="1">
      <alignment vertical="center"/>
    </xf>
    <xf numFmtId="0" fontId="49" fillId="0" borderId="0" xfId="0" applyFont="1" applyFill="1" applyBorder="1" applyAlignment="1">
      <alignment vertical="center"/>
    </xf>
    <xf numFmtId="0" fontId="49" fillId="0" borderId="0" xfId="0" applyFont="1" applyFill="1" applyAlignment="1">
      <alignment vertical="center"/>
    </xf>
    <xf numFmtId="0" fontId="48" fillId="0" borderId="0" xfId="0" applyFont="1" applyFill="1" applyAlignment="1">
      <alignment horizontal="center" vertical="center"/>
    </xf>
    <xf numFmtId="0" fontId="48" fillId="0" borderId="0" xfId="0" applyFont="1" applyFill="1" applyAlignment="1">
      <alignment wrapText="1"/>
    </xf>
    <xf numFmtId="0" fontId="50" fillId="0" borderId="0" xfId="0" applyFont="1" applyFill="1" applyAlignment="1">
      <alignment wrapText="1"/>
    </xf>
    <xf numFmtId="0" fontId="50" fillId="0" borderId="0" xfId="0" applyFont="1" applyFill="1"/>
    <xf numFmtId="3" fontId="50" fillId="0" borderId="0" xfId="0" applyNumberFormat="1" applyFont="1" applyFill="1" applyBorder="1"/>
    <xf numFmtId="167" fontId="49" fillId="0" borderId="0" xfId="1" applyNumberFormat="1" applyFont="1" applyFill="1" applyAlignment="1">
      <alignment vertical="center"/>
    </xf>
    <xf numFmtId="0" fontId="49" fillId="0" borderId="0" xfId="0" applyFont="1" applyFill="1" applyAlignment="1">
      <alignment wrapText="1"/>
    </xf>
    <xf numFmtId="3" fontId="50" fillId="0" borderId="0" xfId="0" applyNumberFormat="1" applyFont="1" applyFill="1"/>
    <xf numFmtId="0" fontId="48" fillId="0" borderId="0" xfId="0" applyFont="1" applyFill="1" applyBorder="1"/>
    <xf numFmtId="3" fontId="48" fillId="0" borderId="0" xfId="0" applyNumberFormat="1" applyFont="1" applyFill="1" applyBorder="1" applyAlignment="1">
      <alignment horizontal="center" wrapText="1"/>
    </xf>
    <xf numFmtId="3" fontId="48" fillId="0" borderId="0" xfId="0" applyNumberFormat="1" applyFont="1" applyFill="1" applyBorder="1" applyAlignment="1">
      <alignment horizontal="center"/>
    </xf>
    <xf numFmtId="0" fontId="50" fillId="0" borderId="0" xfId="0" applyFont="1" applyFill="1" applyBorder="1"/>
    <xf numFmtId="0" fontId="48" fillId="0" borderId="0" xfId="0" applyFont="1" applyFill="1" applyBorder="1" applyAlignment="1">
      <alignment horizontal="center"/>
    </xf>
    <xf numFmtId="165" fontId="50" fillId="0" borderId="0" xfId="1" applyNumberFormat="1" applyFont="1" applyFill="1" applyBorder="1"/>
    <xf numFmtId="0" fontId="48" fillId="0" borderId="0" xfId="0" applyFont="1" applyFill="1"/>
    <xf numFmtId="173" fontId="48" fillId="0" borderId="0" xfId="1" applyNumberFormat="1" applyFont="1" applyFill="1" applyBorder="1"/>
    <xf numFmtId="173" fontId="50" fillId="0" borderId="0" xfId="1" applyNumberFormat="1" applyFont="1" applyFill="1" applyBorder="1"/>
    <xf numFmtId="173" fontId="49" fillId="0" borderId="0" xfId="1" applyNumberFormat="1" applyFont="1" applyFill="1" applyBorder="1"/>
    <xf numFmtId="0" fontId="49" fillId="0" borderId="0" xfId="0" applyFont="1" applyFill="1"/>
    <xf numFmtId="173" fontId="48" fillId="0" borderId="7" xfId="1" applyNumberFormat="1" applyFont="1" applyFill="1" applyBorder="1"/>
    <xf numFmtId="165" fontId="49" fillId="0" borderId="0" xfId="1" applyNumberFormat="1" applyFont="1" applyFill="1" applyBorder="1"/>
    <xf numFmtId="0" fontId="50" fillId="0" borderId="0" xfId="0" applyFont="1" applyFill="1" applyBorder="1" applyAlignment="1">
      <alignment wrapText="1"/>
    </xf>
    <xf numFmtId="173" fontId="51" fillId="0" borderId="0" xfId="1" applyNumberFormat="1" applyFont="1" applyFill="1" applyBorder="1"/>
    <xf numFmtId="173" fontId="50" fillId="0" borderId="7" xfId="1" applyNumberFormat="1" applyFont="1" applyFill="1" applyBorder="1"/>
    <xf numFmtId="0" fontId="50" fillId="0" borderId="0" xfId="0" applyNumberFormat="1" applyFont="1" applyFill="1" applyBorder="1" applyAlignment="1">
      <alignment wrapText="1"/>
    </xf>
    <xf numFmtId="0" fontId="49" fillId="0" borderId="0" xfId="0" applyFont="1" applyFill="1" applyBorder="1"/>
    <xf numFmtId="170" fontId="6" fillId="0" borderId="4" xfId="1" applyNumberFormat="1" applyFont="1" applyFill="1" applyBorder="1" applyAlignment="1">
      <alignment vertical="center"/>
    </xf>
    <xf numFmtId="167" fontId="6" fillId="0" borderId="27" xfId="1" applyNumberFormat="1" applyFont="1" applyFill="1" applyBorder="1" applyAlignment="1">
      <alignment vertical="center"/>
    </xf>
    <xf numFmtId="0" fontId="6" fillId="0" borderId="0" xfId="7" applyFont="1" applyFill="1" applyBorder="1" applyAlignment="1">
      <alignment horizontal="left" vertical="center"/>
    </xf>
    <xf numFmtId="167" fontId="6" fillId="0" borderId="19" xfId="8" applyNumberFormat="1" applyFont="1" applyFill="1" applyBorder="1" applyAlignment="1">
      <alignment horizontal="left" vertical="center"/>
    </xf>
    <xf numFmtId="0" fontId="6" fillId="0" borderId="0" xfId="7" applyFont="1" applyFill="1" applyBorder="1" applyAlignment="1">
      <alignment horizontal="left" vertical="center" wrapText="1"/>
    </xf>
    <xf numFmtId="167" fontId="6" fillId="0" borderId="19" xfId="1" applyNumberFormat="1" applyFont="1" applyFill="1" applyBorder="1" applyAlignment="1">
      <alignment vertical="center"/>
    </xf>
    <xf numFmtId="167" fontId="6" fillId="0" borderId="22" xfId="1" applyNumberFormat="1" applyFont="1" applyFill="1" applyBorder="1" applyAlignment="1">
      <alignment vertical="center"/>
    </xf>
    <xf numFmtId="167" fontId="29" fillId="0" borderId="7" xfId="0" applyNumberFormat="1" applyFont="1" applyFill="1" applyBorder="1" applyAlignment="1">
      <alignment vertical="center"/>
    </xf>
    <xf numFmtId="43" fontId="29" fillId="0" borderId="0" xfId="0" applyNumberFormat="1" applyFont="1" applyFill="1" applyBorder="1" applyAlignment="1">
      <alignment vertical="center"/>
    </xf>
    <xf numFmtId="0" fontId="29" fillId="0" borderId="5" xfId="0" applyFont="1" applyFill="1" applyBorder="1" applyAlignment="1">
      <alignment vertical="center"/>
    </xf>
    <xf numFmtId="165" fontId="6" fillId="0" borderId="0" xfId="1" applyNumberFormat="1" applyFont="1" applyFill="1" applyBorder="1" applyAlignment="1">
      <alignment vertical="center"/>
    </xf>
    <xf numFmtId="43" fontId="6" fillId="0" borderId="0" xfId="1" quotePrefix="1" applyNumberFormat="1" applyFont="1" applyFill="1" applyBorder="1" applyAlignment="1">
      <alignment horizontal="center" vertical="center"/>
    </xf>
    <xf numFmtId="43" fontId="6" fillId="0" borderId="0" xfId="1" applyNumberFormat="1" applyFont="1" applyFill="1" applyBorder="1" applyAlignment="1">
      <alignment vertical="center"/>
    </xf>
    <xf numFmtId="164" fontId="6" fillId="0" borderId="7" xfId="1" applyFont="1" applyFill="1" applyBorder="1" applyAlignment="1">
      <alignment vertical="center"/>
    </xf>
    <xf numFmtId="43" fontId="6" fillId="0" borderId="0" xfId="0" applyNumberFormat="1" applyFont="1" applyFill="1" applyBorder="1" applyAlignment="1">
      <alignment horizontal="justify" vertical="center" wrapText="1"/>
    </xf>
    <xf numFmtId="0" fontId="29" fillId="0" borderId="18" xfId="0" applyFont="1" applyFill="1" applyBorder="1" applyAlignment="1">
      <alignment horizontal="center" vertical="center"/>
    </xf>
    <xf numFmtId="0" fontId="29" fillId="0" borderId="0" xfId="0" applyFont="1" applyFill="1" applyBorder="1" applyAlignment="1">
      <alignment horizontal="center" vertical="center"/>
    </xf>
    <xf numFmtId="167" fontId="29" fillId="0" borderId="0" xfId="1" applyNumberFormat="1" applyFont="1" applyFill="1" applyBorder="1" applyAlignment="1">
      <alignment horizontal="center" vertical="center"/>
    </xf>
    <xf numFmtId="167" fontId="29" fillId="0" borderId="0" xfId="1" quotePrefix="1" applyNumberFormat="1" applyFont="1" applyFill="1" applyBorder="1" applyAlignment="1">
      <alignment horizontal="center" vertical="center"/>
    </xf>
    <xf numFmtId="0" fontId="29" fillId="0" borderId="18" xfId="0" quotePrefix="1" applyFont="1" applyFill="1" applyBorder="1" applyAlignment="1">
      <alignment horizontal="center" vertical="center"/>
    </xf>
    <xf numFmtId="0" fontId="6" fillId="0" borderId="0" xfId="0" applyFont="1" applyFill="1" applyBorder="1" applyAlignment="1">
      <alignment horizontal="left" vertical="center" wrapText="1"/>
    </xf>
    <xf numFmtId="167" fontId="29" fillId="0" borderId="18" xfId="1" quotePrefix="1" applyNumberFormat="1" applyFont="1" applyFill="1" applyBorder="1" applyAlignment="1">
      <alignment horizontal="center" vertical="center"/>
    </xf>
    <xf numFmtId="0" fontId="29" fillId="0" borderId="18" xfId="0" applyFont="1" applyFill="1" applyBorder="1" applyAlignment="1">
      <alignment horizontal="center"/>
    </xf>
    <xf numFmtId="0" fontId="29" fillId="0" borderId="18" xfId="0" quotePrefix="1" applyFont="1" applyFill="1" applyBorder="1" applyAlignment="1">
      <alignment horizontal="center"/>
    </xf>
    <xf numFmtId="0" fontId="29" fillId="0" borderId="0" xfId="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6" fillId="0" borderId="0" xfId="0" applyFont="1" applyFill="1" applyBorder="1" applyAlignment="1">
      <alignment vertical="top" wrapText="1"/>
    </xf>
    <xf numFmtId="0" fontId="29" fillId="0" borderId="0" xfId="0" applyFont="1" applyFill="1" applyAlignment="1">
      <alignment horizontal="center" vertical="center"/>
    </xf>
    <xf numFmtId="0" fontId="29" fillId="0" borderId="18" xfId="0" applyFont="1" applyFill="1" applyBorder="1" applyAlignment="1">
      <alignment horizontal="center" vertical="center" wrapText="1"/>
    </xf>
    <xf numFmtId="0" fontId="29" fillId="0" borderId="26" xfId="0" applyFont="1" applyFill="1" applyBorder="1" applyAlignment="1">
      <alignment horizontal="center" vertical="top" wrapText="1"/>
    </xf>
    <xf numFmtId="0" fontId="6" fillId="0" borderId="0" xfId="0" applyFont="1" applyFill="1" applyBorder="1" applyAlignment="1">
      <alignment vertical="top" wrapText="1"/>
    </xf>
    <xf numFmtId="0" fontId="6" fillId="0" borderId="0" xfId="0" applyFont="1" applyFill="1" applyBorder="1" applyAlignment="1">
      <alignment horizontal="right" vertical="top"/>
    </xf>
    <xf numFmtId="0" fontId="6" fillId="0" borderId="18" xfId="0" applyFont="1" applyFill="1" applyBorder="1" applyAlignment="1">
      <alignment vertical="top"/>
    </xf>
    <xf numFmtId="0" fontId="6" fillId="0" borderId="0" xfId="0" applyFont="1" applyFill="1" applyBorder="1" applyAlignment="1">
      <alignment vertical="top"/>
    </xf>
    <xf numFmtId="167" fontId="6" fillId="0" borderId="7" xfId="1" applyNumberFormat="1" applyFont="1" applyFill="1" applyBorder="1" applyAlignment="1">
      <alignment horizontal="right" vertical="center" wrapText="1"/>
    </xf>
    <xf numFmtId="0" fontId="35" fillId="0" borderId="0" xfId="0" applyFont="1" applyFill="1" applyBorder="1"/>
    <xf numFmtId="164" fontId="29" fillId="0" borderId="19" xfId="1" applyFont="1" applyFill="1" applyBorder="1" applyAlignment="1">
      <alignment horizontal="center" vertical="center" wrapText="1"/>
    </xf>
    <xf numFmtId="167" fontId="29" fillId="0" borderId="7" xfId="1" applyNumberFormat="1" applyFont="1" applyFill="1" applyBorder="1"/>
    <xf numFmtId="0" fontId="33" fillId="0" borderId="13" xfId="0" applyFont="1" applyFill="1" applyBorder="1" applyAlignment="1">
      <alignment vertical="center"/>
    </xf>
    <xf numFmtId="167" fontId="33" fillId="0" borderId="13" xfId="1" applyNumberFormat="1" applyFont="1" applyFill="1" applyBorder="1" applyAlignment="1">
      <alignment vertical="center"/>
    </xf>
    <xf numFmtId="164" fontId="33" fillId="0" borderId="0" xfId="1" applyFont="1" applyFill="1" applyBorder="1" applyAlignment="1">
      <alignment vertical="center"/>
    </xf>
    <xf numFmtId="167" fontId="29" fillId="0" borderId="0" xfId="1" quotePrefix="1" applyNumberFormat="1" applyFont="1" applyFill="1" applyBorder="1" applyAlignment="1">
      <alignment horizontal="center" vertical="center" wrapText="1"/>
    </xf>
    <xf numFmtId="167" fontId="29" fillId="0" borderId="24" xfId="1" applyNumberFormat="1" applyFont="1" applyFill="1" applyBorder="1" applyAlignment="1">
      <alignment vertical="center" wrapText="1"/>
    </xf>
    <xf numFmtId="167" fontId="29" fillId="0" borderId="24" xfId="1" applyNumberFormat="1" applyFont="1" applyFill="1" applyBorder="1" applyAlignment="1">
      <alignment vertical="center"/>
    </xf>
    <xf numFmtId="167" fontId="29" fillId="0" borderId="15" xfId="1" applyNumberFormat="1" applyFont="1" applyFill="1" applyBorder="1" applyAlignment="1">
      <alignment vertical="center" wrapText="1"/>
    </xf>
    <xf numFmtId="167" fontId="6" fillId="0" borderId="7" xfId="1" applyNumberFormat="1" applyFont="1" applyFill="1" applyBorder="1" applyAlignment="1">
      <alignment horizontal="justify" vertical="center" wrapText="1"/>
    </xf>
    <xf numFmtId="167" fontId="29" fillId="0" borderId="16" xfId="1" applyNumberFormat="1" applyFont="1" applyFill="1" applyBorder="1" applyAlignment="1">
      <alignment horizontal="center" vertical="center"/>
    </xf>
    <xf numFmtId="167" fontId="29" fillId="0" borderId="15" xfId="1" applyNumberFormat="1" applyFont="1" applyFill="1" applyBorder="1" applyAlignment="1">
      <alignment horizontal="center" vertical="center"/>
    </xf>
    <xf numFmtId="167" fontId="29" fillId="0" borderId="7" xfId="1" applyNumberFormat="1" applyFont="1" applyFill="1" applyBorder="1" applyAlignment="1">
      <alignment horizontal="center" vertical="center"/>
    </xf>
    <xf numFmtId="167" fontId="29" fillId="0" borderId="15" xfId="1" applyNumberFormat="1" applyFont="1" applyFill="1" applyBorder="1" applyAlignment="1">
      <alignment vertical="center"/>
    </xf>
    <xf numFmtId="167" fontId="33" fillId="0" borderId="15" xfId="1" applyNumberFormat="1" applyFont="1" applyFill="1" applyBorder="1" applyAlignment="1">
      <alignment vertical="center" wrapText="1"/>
    </xf>
    <xf numFmtId="0" fontId="33" fillId="0" borderId="5" xfId="0" applyFont="1" applyFill="1" applyBorder="1" applyAlignment="1">
      <alignment vertical="center" wrapText="1"/>
    </xf>
    <xf numFmtId="167" fontId="33" fillId="0" borderId="5" xfId="1" applyNumberFormat="1" applyFont="1" applyFill="1" applyBorder="1" applyAlignment="1">
      <alignment vertical="center" wrapText="1"/>
    </xf>
    <xf numFmtId="0" fontId="34" fillId="0" borderId="0" xfId="0" applyFont="1" applyFill="1" applyAlignment="1">
      <alignment vertical="center"/>
    </xf>
    <xf numFmtId="0" fontId="29" fillId="0" borderId="96" xfId="0" quotePrefix="1" applyFont="1" applyFill="1" applyBorder="1" applyAlignment="1">
      <alignment horizontal="center" vertical="center"/>
    </xf>
    <xf numFmtId="0" fontId="29" fillId="0" borderId="18" xfId="0" applyFont="1" applyFill="1" applyBorder="1" applyAlignment="1">
      <alignment horizontal="center" vertical="center"/>
    </xf>
    <xf numFmtId="0" fontId="29" fillId="0" borderId="0" xfId="0" applyFont="1" applyFill="1" applyBorder="1" applyAlignment="1">
      <alignment horizontal="center" vertical="center"/>
    </xf>
    <xf numFmtId="167" fontId="29" fillId="0" borderId="0" xfId="1" applyNumberFormat="1" applyFont="1" applyFill="1" applyBorder="1" applyAlignment="1">
      <alignment horizontal="center" vertical="center"/>
    </xf>
    <xf numFmtId="167" fontId="29" fillId="0" borderId="0" xfId="1" quotePrefix="1" applyNumberFormat="1" applyFont="1" applyFill="1" applyBorder="1" applyAlignment="1">
      <alignment horizontal="center" vertical="center"/>
    </xf>
    <xf numFmtId="0" fontId="6"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18" xfId="0" applyFont="1" applyFill="1" applyBorder="1" applyAlignment="1">
      <alignment horizontal="center"/>
    </xf>
    <xf numFmtId="0" fontId="35"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29" fillId="0" borderId="69" xfId="0" quotePrefix="1" applyFont="1" applyFill="1" applyBorder="1" applyAlignment="1">
      <alignment horizontal="center" vertical="center"/>
    </xf>
    <xf numFmtId="0" fontId="6" fillId="0" borderId="0" xfId="0" applyFont="1" applyFill="1" applyBorder="1" applyAlignment="1">
      <alignment horizontal="left" vertical="center"/>
    </xf>
    <xf numFmtId="164" fontId="29" fillId="0" borderId="5" xfId="1" applyFont="1" applyFill="1" applyBorder="1" applyAlignment="1">
      <alignment horizontal="right" vertical="center" wrapText="1"/>
    </xf>
    <xf numFmtId="0" fontId="29" fillId="0" borderId="0" xfId="0" applyFont="1" applyFill="1" applyAlignment="1">
      <alignment horizontal="center" vertical="center"/>
    </xf>
    <xf numFmtId="0" fontId="17" fillId="0" borderId="16" xfId="0" applyFont="1" applyFill="1" applyBorder="1" applyAlignment="1">
      <alignment horizontal="center" vertical="center" wrapText="1"/>
    </xf>
    <xf numFmtId="3" fontId="6" fillId="0" borderId="0" xfId="0" quotePrefix="1" applyNumberFormat="1" applyFont="1" applyFill="1"/>
    <xf numFmtId="0" fontId="53" fillId="0" borderId="0" xfId="13" applyFont="1" applyFill="1" applyAlignment="1" applyProtection="1"/>
    <xf numFmtId="0" fontId="29" fillId="0" borderId="26" xfId="0" applyFont="1" applyFill="1" applyBorder="1" applyAlignment="1">
      <alignment horizontal="center" wrapText="1"/>
    </xf>
    <xf numFmtId="164" fontId="6" fillId="0" borderId="14" xfId="1" applyFont="1" applyFill="1" applyBorder="1" applyAlignment="1"/>
    <xf numFmtId="4" fontId="29" fillId="0" borderId="62" xfId="0" applyNumberFormat="1" applyFont="1" applyFill="1" applyBorder="1"/>
    <xf numFmtId="164" fontId="6" fillId="0" borderId="62" xfId="1" applyFont="1" applyFill="1" applyBorder="1"/>
    <xf numFmtId="0" fontId="29" fillId="0" borderId="0" xfId="14" applyFont="1" applyFill="1"/>
    <xf numFmtId="0" fontId="6" fillId="0" borderId="0" xfId="14" applyFont="1" applyFill="1"/>
    <xf numFmtId="3" fontId="6" fillId="0" borderId="0" xfId="14" applyNumberFormat="1" applyFont="1" applyFill="1"/>
    <xf numFmtId="0" fontId="6" fillId="0" borderId="0" xfId="14" applyFont="1" applyFill="1" applyAlignment="1">
      <alignment wrapText="1"/>
    </xf>
    <xf numFmtId="0" fontId="6" fillId="0" borderId="0" xfId="14" applyNumberFormat="1" applyFont="1" applyFill="1" applyAlignment="1">
      <alignment wrapText="1"/>
    </xf>
    <xf numFmtId="0" fontId="29" fillId="0" borderId="0" xfId="14" applyFont="1" applyFill="1" applyAlignment="1">
      <alignment horizontal="center"/>
    </xf>
    <xf numFmtId="173" fontId="6" fillId="0" borderId="0" xfId="15" applyNumberFormat="1" applyFont="1" applyFill="1"/>
    <xf numFmtId="0" fontId="56" fillId="0" borderId="0" xfId="0" applyFont="1" applyFill="1"/>
    <xf numFmtId="43" fontId="56" fillId="0" borderId="0" xfId="1" applyNumberFormat="1" applyFont="1" applyFill="1"/>
    <xf numFmtId="167" fontId="56" fillId="0" borderId="0" xfId="1" applyNumberFormat="1" applyFont="1" applyFill="1"/>
    <xf numFmtId="3" fontId="56" fillId="0" borderId="0" xfId="0" applyNumberFormat="1" applyFont="1" applyFill="1"/>
    <xf numFmtId="43" fontId="56" fillId="0" borderId="0" xfId="1" applyNumberFormat="1" applyFont="1" applyFill="1" applyBorder="1"/>
    <xf numFmtId="167" fontId="56" fillId="0" borderId="7" xfId="1" applyNumberFormat="1" applyFont="1" applyFill="1" applyBorder="1"/>
    <xf numFmtId="0" fontId="6" fillId="0" borderId="0" xfId="0" applyNumberFormat="1" applyFont="1" applyFill="1" applyAlignment="1">
      <alignment vertical="top" wrapText="1"/>
    </xf>
    <xf numFmtId="0" fontId="56" fillId="0" borderId="0" xfId="0" applyFont="1" applyFill="1" applyAlignment="1">
      <alignment vertical="top" wrapText="1"/>
    </xf>
    <xf numFmtId="0" fontId="49" fillId="0" borderId="0" xfId="14" applyFont="1" applyFill="1" applyAlignment="1">
      <alignment wrapText="1"/>
    </xf>
    <xf numFmtId="0" fontId="49" fillId="0" borderId="0" xfId="14" applyFont="1" applyFill="1"/>
    <xf numFmtId="173" fontId="49" fillId="0" borderId="0" xfId="15" applyNumberFormat="1" applyFont="1" applyFill="1"/>
    <xf numFmtId="0" fontId="29" fillId="0" borderId="0" xfId="0" applyFont="1" applyFill="1" applyBorder="1" applyAlignment="1">
      <alignment horizontal="center"/>
    </xf>
    <xf numFmtId="0" fontId="6" fillId="0" borderId="0" xfId="0" applyFont="1" applyFill="1" applyBorder="1" applyAlignment="1">
      <alignment horizontal="left" vertical="center" wrapText="1"/>
    </xf>
    <xf numFmtId="0" fontId="29" fillId="0" borderId="45" xfId="0" applyFont="1" applyFill="1" applyBorder="1" applyAlignment="1">
      <alignment horizontal="center"/>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6" fillId="0" borderId="0" xfId="0" applyFont="1" applyFill="1" applyBorder="1" applyAlignment="1">
      <alignment vertical="top" wrapText="1"/>
    </xf>
    <xf numFmtId="0" fontId="17" fillId="0" borderId="0" xfId="0" applyFont="1" applyFill="1" applyAlignment="1">
      <alignment horizontal="center" vertical="center"/>
    </xf>
    <xf numFmtId="0" fontId="17" fillId="0" borderId="14" xfId="0" applyFont="1" applyFill="1" applyBorder="1" applyAlignment="1">
      <alignment horizontal="center" vertical="center" wrapText="1"/>
    </xf>
    <xf numFmtId="0" fontId="29" fillId="0" borderId="44" xfId="0" applyFont="1" applyFill="1" applyBorder="1" applyAlignment="1">
      <alignment vertical="top" wrapText="1"/>
    </xf>
    <xf numFmtId="0" fontId="29" fillId="0" borderId="18" xfId="0" applyFont="1" applyFill="1" applyBorder="1" applyAlignment="1">
      <alignment vertical="top" wrapText="1"/>
    </xf>
    <xf numFmtId="167" fontId="29" fillId="0" borderId="0" xfId="1" applyNumberFormat="1" applyFont="1" applyFill="1" applyBorder="1" applyAlignment="1">
      <alignment horizontal="center" vertical="top" wrapText="1"/>
    </xf>
    <xf numFmtId="0" fontId="17" fillId="0" borderId="16"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0" xfId="0" applyFont="1" applyFill="1" applyBorder="1" applyAlignment="1">
      <alignment horizontal="center"/>
    </xf>
    <xf numFmtId="0" fontId="29" fillId="0" borderId="0" xfId="14" applyFont="1" applyFill="1" applyBorder="1" applyAlignment="1">
      <alignment horizontal="center" vertical="center"/>
    </xf>
    <xf numFmtId="0" fontId="29" fillId="0" borderId="0" xfId="14" applyFont="1" applyFill="1" applyAlignment="1">
      <alignment vertical="center"/>
    </xf>
    <xf numFmtId="0" fontId="29" fillId="0" borderId="0" xfId="14" applyFont="1" applyFill="1" applyBorder="1" applyAlignment="1">
      <alignment horizontal="center" vertical="center" wrapText="1"/>
    </xf>
    <xf numFmtId="0" fontId="6" fillId="0" borderId="0" xfId="14" applyFill="1" applyAlignment="1">
      <alignment vertical="center"/>
    </xf>
    <xf numFmtId="173" fontId="29" fillId="0" borderId="0" xfId="15" applyNumberFormat="1" applyFont="1" applyFill="1" applyAlignment="1">
      <alignment vertical="center"/>
    </xf>
    <xf numFmtId="0" fontId="6" fillId="0" borderId="0" xfId="14" applyFont="1" applyFill="1" applyAlignment="1">
      <alignment vertical="center"/>
    </xf>
    <xf numFmtId="173" fontId="0" fillId="0" borderId="12" xfId="15" applyNumberFormat="1" applyFont="1" applyFill="1" applyBorder="1" applyAlignment="1">
      <alignment vertical="center"/>
    </xf>
    <xf numFmtId="173" fontId="0" fillId="0" borderId="13" xfId="15" applyNumberFormat="1" applyFont="1" applyFill="1" applyBorder="1" applyAlignment="1">
      <alignment vertical="center"/>
    </xf>
    <xf numFmtId="173" fontId="0" fillId="0" borderId="14" xfId="15" applyNumberFormat="1" applyFont="1" applyFill="1" applyBorder="1" applyAlignment="1">
      <alignment vertical="center"/>
    </xf>
    <xf numFmtId="173" fontId="0" fillId="0" borderId="9" xfId="15" applyNumberFormat="1" applyFont="1" applyFill="1" applyBorder="1" applyAlignment="1">
      <alignment vertical="center"/>
    </xf>
    <xf numFmtId="173" fontId="0" fillId="0" borderId="0" xfId="15" applyNumberFormat="1" applyFont="1" applyFill="1" applyBorder="1" applyAlignment="1">
      <alignment vertical="center"/>
    </xf>
    <xf numFmtId="173" fontId="0" fillId="0" borderId="4" xfId="15" applyNumberFormat="1" applyFont="1" applyFill="1" applyBorder="1" applyAlignment="1">
      <alignment vertical="center"/>
    </xf>
    <xf numFmtId="0" fontId="58" fillId="0" borderId="0" xfId="14" applyFont="1" applyFill="1" applyAlignment="1">
      <alignment vertical="center"/>
    </xf>
    <xf numFmtId="0" fontId="55" fillId="0" borderId="0" xfId="14" applyFont="1" applyFill="1" applyAlignment="1">
      <alignment vertical="center"/>
    </xf>
    <xf numFmtId="173" fontId="59" fillId="0" borderId="9" xfId="15" applyNumberFormat="1" applyFont="1" applyFill="1" applyBorder="1" applyAlignment="1">
      <alignment vertical="center"/>
    </xf>
    <xf numFmtId="173" fontId="59" fillId="0" borderId="0" xfId="15" applyNumberFormat="1" applyFont="1" applyFill="1" applyBorder="1" applyAlignment="1">
      <alignment vertical="center"/>
    </xf>
    <xf numFmtId="173" fontId="59" fillId="0" borderId="4" xfId="15" applyNumberFormat="1" applyFont="1" applyFill="1" applyBorder="1" applyAlignment="1">
      <alignment vertical="center"/>
    </xf>
    <xf numFmtId="173" fontId="0" fillId="0" borderId="8" xfId="15" applyNumberFormat="1" applyFont="1" applyFill="1" applyBorder="1" applyAlignment="1">
      <alignment vertical="center"/>
    </xf>
    <xf numFmtId="173" fontId="0" fillId="0" borderId="5" xfId="15" applyNumberFormat="1" applyFont="1" applyFill="1" applyBorder="1" applyAlignment="1">
      <alignment vertical="center"/>
    </xf>
    <xf numFmtId="173" fontId="0" fillId="0" borderId="6" xfId="15" applyNumberFormat="1" applyFont="1" applyFill="1" applyBorder="1" applyAlignment="1">
      <alignment vertical="center"/>
    </xf>
    <xf numFmtId="173" fontId="0" fillId="0" borderId="0" xfId="15" applyNumberFormat="1" applyFont="1" applyFill="1" applyAlignment="1">
      <alignment vertical="center"/>
    </xf>
    <xf numFmtId="173" fontId="6" fillId="0" borderId="0" xfId="15" applyNumberFormat="1" applyFont="1" applyFill="1" applyBorder="1" applyAlignment="1">
      <alignment vertical="center"/>
    </xf>
    <xf numFmtId="0" fontId="6" fillId="0" borderId="0" xfId="14" applyFont="1" applyFill="1" applyBorder="1" applyAlignment="1">
      <alignment vertical="center"/>
    </xf>
    <xf numFmtId="165" fontId="0" fillId="0" borderId="0" xfId="15" applyNumberFormat="1" applyFont="1" applyFill="1" applyAlignment="1">
      <alignment vertical="center"/>
    </xf>
    <xf numFmtId="165" fontId="59" fillId="0" borderId="0" xfId="15" applyNumberFormat="1" applyFont="1" applyFill="1" applyAlignment="1">
      <alignment vertical="center"/>
    </xf>
    <xf numFmtId="165" fontId="60" fillId="0" borderId="0" xfId="16" quotePrefix="1" applyNumberFormat="1" applyFill="1" applyAlignment="1" applyProtection="1">
      <alignment vertical="center"/>
    </xf>
    <xf numFmtId="0" fontId="15" fillId="0" borderId="0" xfId="14" applyFont="1" applyFill="1" applyBorder="1" applyAlignment="1">
      <alignment vertical="center"/>
    </xf>
    <xf numFmtId="0" fontId="29" fillId="0" borderId="0" xfId="14" applyFont="1" applyFill="1" applyBorder="1" applyAlignment="1">
      <alignment vertical="center"/>
    </xf>
    <xf numFmtId="165" fontId="0" fillId="0" borderId="0" xfId="15" applyNumberFormat="1" applyFont="1" applyFill="1" applyBorder="1" applyAlignment="1">
      <alignment vertical="center"/>
    </xf>
    <xf numFmtId="0" fontId="6" fillId="0" borderId="0" xfId="14" applyFill="1" applyBorder="1" applyAlignment="1">
      <alignment vertical="center"/>
    </xf>
    <xf numFmtId="0" fontId="6" fillId="0" borderId="0" xfId="14" applyFill="1" applyBorder="1" applyAlignment="1">
      <alignment vertical="center" wrapText="1"/>
    </xf>
    <xf numFmtId="173" fontId="29" fillId="0" borderId="0" xfId="15" applyNumberFormat="1" applyFont="1" applyFill="1" applyAlignment="1">
      <alignment horizontal="center" vertical="center"/>
    </xf>
    <xf numFmtId="9" fontId="17" fillId="0" borderId="1" xfId="5" applyFont="1" applyFill="1" applyBorder="1" applyAlignment="1">
      <alignment horizontal="right" vertical="center" wrapText="1"/>
    </xf>
    <xf numFmtId="0" fontId="6" fillId="0" borderId="2" xfId="0" quotePrefix="1" applyFont="1" applyFill="1" applyBorder="1" applyAlignment="1">
      <alignment vertical="center"/>
    </xf>
    <xf numFmtId="0" fontId="6" fillId="0" borderId="16" xfId="0" quotePrefix="1" applyFont="1" applyFill="1" applyBorder="1" applyAlignment="1">
      <alignment vertical="center"/>
    </xf>
    <xf numFmtId="0" fontId="3" fillId="0" borderId="2" xfId="0" applyFont="1" applyBorder="1" applyAlignment="1">
      <alignment vertical="center"/>
    </xf>
    <xf numFmtId="0" fontId="3" fillId="0" borderId="37" xfId="0" applyFont="1" applyFill="1" applyBorder="1" applyAlignment="1">
      <alignment horizontal="left" vertical="center" wrapText="1"/>
    </xf>
    <xf numFmtId="0" fontId="3" fillId="0" borderId="37" xfId="0" applyFont="1" applyFill="1" applyBorder="1" applyAlignment="1">
      <alignment horizontal="center" vertical="center" wrapText="1"/>
    </xf>
    <xf numFmtId="16" fontId="3" fillId="0" borderId="37" xfId="0" quotePrefix="1" applyNumberFormat="1" applyFont="1" applyFill="1" applyBorder="1" applyAlignment="1">
      <alignment horizontal="center" vertical="center" wrapText="1"/>
    </xf>
    <xf numFmtId="0" fontId="3" fillId="0" borderId="37" xfId="0" quotePrefix="1" applyFont="1" applyFill="1" applyBorder="1" applyAlignment="1">
      <alignment horizontal="center" vertical="center" wrapText="1"/>
    </xf>
    <xf numFmtId="172" fontId="3" fillId="0" borderId="2" xfId="0" applyNumberFormat="1" applyFont="1" applyFill="1" applyBorder="1" applyAlignment="1">
      <alignment vertical="center"/>
    </xf>
    <xf numFmtId="0" fontId="3" fillId="0" borderId="2" xfId="0" applyFont="1" applyFill="1" applyBorder="1" applyAlignment="1">
      <alignment vertical="center"/>
    </xf>
    <xf numFmtId="172" fontId="3" fillId="0" borderId="16" xfId="0" applyNumberFormat="1" applyFont="1" applyFill="1" applyBorder="1" applyAlignment="1">
      <alignment vertical="center"/>
    </xf>
    <xf numFmtId="0" fontId="3" fillId="0" borderId="16" xfId="0" applyFont="1" applyFill="1" applyBorder="1" applyAlignment="1">
      <alignment vertical="center"/>
    </xf>
    <xf numFmtId="6" fontId="3" fillId="0" borderId="2" xfId="0" applyNumberFormat="1" applyFont="1" applyFill="1" applyBorder="1" applyAlignment="1">
      <alignment vertical="center"/>
    </xf>
    <xf numFmtId="8" fontId="3" fillId="0" borderId="2" xfId="0" applyNumberFormat="1" applyFont="1" applyFill="1" applyBorder="1" applyAlignment="1">
      <alignment vertical="center"/>
    </xf>
    <xf numFmtId="172" fontId="3" fillId="0" borderId="0" xfId="0" applyNumberFormat="1" applyFont="1" applyFill="1" applyBorder="1" applyAlignment="1">
      <alignment vertical="center"/>
    </xf>
    <xf numFmtId="0" fontId="3" fillId="0" borderId="0" xfId="0" applyFont="1" applyFill="1" applyBorder="1" applyAlignment="1">
      <alignment vertical="center"/>
    </xf>
    <xf numFmtId="164" fontId="3" fillId="0" borderId="39" xfId="1" applyFont="1" applyFill="1" applyBorder="1" applyAlignment="1">
      <alignment vertical="center"/>
    </xf>
    <xf numFmtId="0" fontId="3" fillId="0" borderId="0" xfId="0" applyFont="1" applyFill="1" applyAlignment="1">
      <alignment vertical="center"/>
    </xf>
    <xf numFmtId="0" fontId="3" fillId="0" borderId="0" xfId="0" applyFont="1" applyFill="1"/>
    <xf numFmtId="0" fontId="3" fillId="0" borderId="18" xfId="0" applyFont="1" applyFill="1" applyBorder="1" applyAlignment="1">
      <alignment vertical="center" wrapText="1"/>
    </xf>
    <xf numFmtId="0" fontId="3" fillId="0" borderId="0" xfId="0" applyFont="1" applyFill="1" applyBorder="1" applyAlignment="1">
      <alignment vertical="center" wrapText="1"/>
    </xf>
    <xf numFmtId="167" fontId="3" fillId="0" borderId="0" xfId="1" applyNumberFormat="1" applyFont="1" applyFill="1" applyBorder="1" applyAlignment="1">
      <alignment vertical="center" wrapText="1"/>
    </xf>
    <xf numFmtId="9" fontId="3" fillId="0" borderId="19" xfId="5" applyFont="1" applyFill="1" applyBorder="1" applyAlignment="1">
      <alignment horizontal="left" vertical="center" wrapText="1"/>
    </xf>
    <xf numFmtId="9" fontId="17" fillId="0" borderId="94" xfId="5" applyFont="1" applyFill="1" applyBorder="1" applyAlignment="1">
      <alignment horizontal="center" vertical="center" wrapText="1"/>
    </xf>
    <xf numFmtId="0" fontId="3" fillId="0" borderId="0" xfId="0" applyFont="1" applyFill="1" applyAlignment="1">
      <alignment horizontal="center"/>
    </xf>
    <xf numFmtId="167" fontId="17" fillId="0" borderId="15" xfId="1" applyNumberFormat="1" applyFont="1" applyFill="1" applyBorder="1" applyAlignment="1">
      <alignment horizontal="center" vertical="center" wrapText="1"/>
    </xf>
    <xf numFmtId="9" fontId="17" fillId="0" borderId="93" xfId="5" applyFont="1" applyFill="1" applyBorder="1" applyAlignment="1">
      <alignment vertical="center" wrapText="1"/>
    </xf>
    <xf numFmtId="0" fontId="17" fillId="0" borderId="104" xfId="0" applyFont="1" applyFill="1" applyBorder="1" applyAlignment="1">
      <alignment vertical="center" wrapText="1"/>
    </xf>
    <xf numFmtId="167" fontId="3" fillId="0" borderId="1" xfId="1" applyNumberFormat="1" applyFont="1" applyFill="1" applyBorder="1" applyAlignment="1">
      <alignment horizontal="right" vertical="center" wrapText="1"/>
    </xf>
    <xf numFmtId="9" fontId="3" fillId="0" borderId="1" xfId="5" applyFont="1" applyFill="1" applyBorder="1" applyAlignment="1">
      <alignment horizontal="right" vertical="center" wrapText="1"/>
    </xf>
    <xf numFmtId="9" fontId="3" fillId="0" borderId="92" xfId="5" applyFont="1" applyFill="1" applyBorder="1" applyAlignment="1">
      <alignment vertical="center" wrapText="1"/>
    </xf>
    <xf numFmtId="0" fontId="3" fillId="0" borderId="104" xfId="0" applyFont="1" applyFill="1" applyBorder="1" applyAlignment="1">
      <alignment vertical="center" wrapText="1"/>
    </xf>
    <xf numFmtId="167" fontId="3" fillId="0" borderId="1" xfId="0" applyNumberFormat="1" applyFont="1" applyFill="1" applyBorder="1" applyAlignment="1">
      <alignment vertical="center" wrapText="1"/>
    </xf>
    <xf numFmtId="167" fontId="3" fillId="0" borderId="9" xfId="1" applyNumberFormat="1" applyFont="1" applyFill="1" applyBorder="1" applyAlignment="1">
      <alignment horizontal="right" vertical="center" wrapText="1"/>
    </xf>
    <xf numFmtId="9" fontId="3" fillId="0" borderId="9" xfId="5" applyFont="1" applyFill="1" applyBorder="1" applyAlignment="1">
      <alignment horizontal="right" vertical="center" wrapText="1"/>
    </xf>
    <xf numFmtId="9" fontId="3" fillId="0" borderId="92" xfId="5" applyFont="1" applyFill="1" applyBorder="1" applyAlignment="1">
      <alignment horizontal="right" vertical="center" wrapText="1" shrinkToFit="1"/>
    </xf>
    <xf numFmtId="9" fontId="3" fillId="0" borderId="92" xfId="5" applyFont="1" applyFill="1" applyBorder="1" applyAlignment="1">
      <alignment horizontal="right" vertical="center" wrapText="1"/>
    </xf>
    <xf numFmtId="0" fontId="17" fillId="0" borderId="105" xfId="0" applyFont="1" applyFill="1" applyBorder="1" applyAlignment="1">
      <alignment vertical="center" wrapText="1"/>
    </xf>
    <xf numFmtId="167" fontId="17" fillId="0" borderId="2" xfId="0" applyNumberFormat="1" applyFont="1" applyFill="1" applyBorder="1" applyAlignment="1">
      <alignment vertical="center" wrapText="1"/>
    </xf>
    <xf numFmtId="167" fontId="17" fillId="0" borderId="2" xfId="1" applyNumberFormat="1" applyFont="1" applyFill="1" applyBorder="1" applyAlignment="1">
      <alignment horizontal="right" vertical="center" wrapText="1"/>
    </xf>
    <xf numFmtId="164" fontId="17" fillId="0" borderId="2" xfId="1" applyNumberFormat="1" applyFont="1" applyFill="1" applyBorder="1" applyAlignment="1">
      <alignment horizontal="right" vertical="center" wrapText="1"/>
    </xf>
    <xf numFmtId="9" fontId="17" fillId="0" borderId="23" xfId="5" applyFont="1" applyFill="1" applyBorder="1" applyAlignment="1">
      <alignment horizontal="right" vertical="center" wrapText="1"/>
    </xf>
    <xf numFmtId="0" fontId="3" fillId="0" borderId="18" xfId="0" applyFont="1" applyFill="1" applyBorder="1" applyAlignment="1">
      <alignment vertical="center"/>
    </xf>
    <xf numFmtId="167" fontId="3" fillId="0" borderId="0" xfId="1" applyNumberFormat="1" applyFont="1" applyFill="1" applyBorder="1" applyAlignment="1">
      <alignment vertical="center"/>
    </xf>
    <xf numFmtId="9" fontId="3" fillId="0" borderId="19" xfId="5" applyFont="1" applyFill="1" applyBorder="1" applyAlignment="1">
      <alignment horizontal="left" vertical="center"/>
    </xf>
    <xf numFmtId="167" fontId="3" fillId="0" borderId="0" xfId="0" applyNumberFormat="1" applyFont="1" applyFill="1"/>
    <xf numFmtId="9" fontId="3" fillId="0" borderId="19" xfId="5" applyFont="1" applyFill="1" applyBorder="1" applyAlignment="1">
      <alignment vertical="center" wrapText="1"/>
    </xf>
    <xf numFmtId="0" fontId="3" fillId="0" borderId="0" xfId="0" applyFont="1" applyFill="1" applyAlignment="1">
      <alignment vertical="top" wrapText="1"/>
    </xf>
    <xf numFmtId="9" fontId="17" fillId="0" borderId="15" xfId="5" applyFont="1" applyFill="1" applyBorder="1" applyAlignment="1">
      <alignment horizontal="center" vertical="center" wrapText="1"/>
    </xf>
    <xf numFmtId="0" fontId="17" fillId="0" borderId="1" xfId="0" applyFont="1" applyFill="1" applyBorder="1" applyAlignment="1">
      <alignment horizontal="right" vertical="center" wrapText="1"/>
    </xf>
    <xf numFmtId="9" fontId="17" fillId="0" borderId="92" xfId="5" applyFont="1" applyFill="1" applyBorder="1" applyAlignment="1">
      <alignment vertical="center" wrapText="1"/>
    </xf>
    <xf numFmtId="0" fontId="17" fillId="0" borderId="2" xfId="0" applyFont="1" applyFill="1" applyBorder="1" applyAlignment="1">
      <alignment vertical="center" wrapText="1"/>
    </xf>
    <xf numFmtId="4" fontId="17" fillId="0" borderId="2" xfId="0" applyNumberFormat="1" applyFont="1" applyFill="1" applyBorder="1" applyAlignment="1">
      <alignment vertical="center" wrapText="1"/>
    </xf>
    <xf numFmtId="9" fontId="17" fillId="0" borderId="2" xfId="5" applyFont="1" applyFill="1" applyBorder="1" applyAlignment="1">
      <alignment horizontal="right" vertical="center" wrapText="1"/>
    </xf>
    <xf numFmtId="9" fontId="17" fillId="0" borderId="23" xfId="5" applyFont="1" applyFill="1" applyBorder="1" applyAlignment="1">
      <alignment vertical="center" wrapText="1"/>
    </xf>
    <xf numFmtId="0" fontId="3" fillId="0" borderId="104" xfId="11" applyFont="1" applyFill="1" applyBorder="1"/>
    <xf numFmtId="0" fontId="3" fillId="0" borderId="16" xfId="0" applyFont="1" applyFill="1" applyBorder="1"/>
    <xf numFmtId="167" fontId="3" fillId="0" borderId="16" xfId="1" applyNumberFormat="1" applyFont="1" applyFill="1" applyBorder="1"/>
    <xf numFmtId="9" fontId="3" fillId="0" borderId="65" xfId="5" applyFont="1" applyFill="1" applyBorder="1" applyAlignment="1">
      <alignment horizontal="left"/>
    </xf>
    <xf numFmtId="0" fontId="3" fillId="0" borderId="15" xfId="0" applyFont="1" applyFill="1" applyBorder="1"/>
    <xf numFmtId="167" fontId="3" fillId="0" borderId="15" xfId="1" applyNumberFormat="1" applyFont="1" applyFill="1" applyBorder="1"/>
    <xf numFmtId="0" fontId="3" fillId="0" borderId="15" xfId="0" applyFont="1" applyFill="1" applyBorder="1" applyAlignment="1">
      <alignment vertical="center" wrapText="1"/>
    </xf>
    <xf numFmtId="9" fontId="3" fillId="0" borderId="64" xfId="5" applyFont="1" applyFill="1" applyBorder="1" applyAlignment="1">
      <alignment horizontal="left"/>
    </xf>
    <xf numFmtId="0" fontId="3" fillId="0" borderId="2" xfId="11" applyFont="1" applyFill="1" applyBorder="1"/>
    <xf numFmtId="0" fontId="3" fillId="0" borderId="2" xfId="0" applyFont="1" applyFill="1" applyBorder="1"/>
    <xf numFmtId="167" fontId="3" fillId="0" borderId="2" xfId="1" applyNumberFormat="1" applyFont="1" applyFill="1" applyBorder="1"/>
    <xf numFmtId="0" fontId="3" fillId="0" borderId="2" xfId="0" applyFont="1" applyFill="1" applyBorder="1" applyAlignment="1">
      <alignment vertical="center" wrapText="1"/>
    </xf>
    <xf numFmtId="9" fontId="3" fillId="0" borderId="107" xfId="5" applyFont="1" applyFill="1" applyBorder="1" applyAlignment="1">
      <alignment horizontal="left"/>
    </xf>
    <xf numFmtId="167" fontId="17" fillId="0" borderId="2" xfId="1" applyNumberFormat="1" applyFont="1" applyFill="1" applyBorder="1"/>
    <xf numFmtId="0" fontId="3" fillId="0" borderId="106" xfId="11" applyFont="1" applyFill="1" applyBorder="1"/>
    <xf numFmtId="0" fontId="3" fillId="0" borderId="16" xfId="11" applyFont="1" applyFill="1" applyBorder="1"/>
    <xf numFmtId="0" fontId="3" fillId="0" borderId="16" xfId="0" applyFont="1" applyFill="1" applyBorder="1" applyAlignment="1">
      <alignment vertical="center" wrapText="1"/>
    </xf>
    <xf numFmtId="0" fontId="3" fillId="0" borderId="1" xfId="11" applyFont="1" applyFill="1" applyBorder="1"/>
    <xf numFmtId="0" fontId="3" fillId="0" borderId="1" xfId="0" applyFont="1" applyFill="1" applyBorder="1"/>
    <xf numFmtId="167" fontId="3" fillId="0" borderId="1" xfId="1" applyNumberFormat="1" applyFont="1" applyFill="1" applyBorder="1"/>
    <xf numFmtId="0" fontId="3" fillId="0" borderId="1" xfId="0" applyFont="1" applyFill="1" applyBorder="1" applyAlignment="1">
      <alignment vertical="center" wrapText="1"/>
    </xf>
    <xf numFmtId="9" fontId="3" fillId="0" borderId="19" xfId="5" applyFont="1" applyFill="1" applyBorder="1" applyAlignment="1">
      <alignment horizontal="left"/>
    </xf>
    <xf numFmtId="0" fontId="3" fillId="0" borderId="105" xfId="11" applyFont="1" applyFill="1" applyBorder="1"/>
    <xf numFmtId="0" fontId="3" fillId="0" borderId="15" xfId="11" applyFont="1" applyFill="1" applyBorder="1"/>
    <xf numFmtId="167" fontId="3" fillId="0" borderId="11" xfId="1" applyNumberFormat="1" applyFont="1" applyFill="1" applyBorder="1"/>
    <xf numFmtId="9" fontId="3" fillId="0" borderId="23" xfId="5" applyFont="1" applyFill="1" applyBorder="1" applyAlignment="1">
      <alignment horizontal="left"/>
    </xf>
    <xf numFmtId="0" fontId="3" fillId="0" borderId="18" xfId="11" applyFont="1" applyFill="1" applyBorder="1"/>
    <xf numFmtId="0" fontId="3" fillId="0" borderId="0" xfId="11" applyFont="1" applyFill="1" applyBorder="1"/>
    <xf numFmtId="0" fontId="3" fillId="0" borderId="0" xfId="0" applyFont="1" applyFill="1" applyBorder="1"/>
    <xf numFmtId="167" fontId="3" fillId="0" borderId="0" xfId="1" applyNumberFormat="1" applyFont="1" applyFill="1" applyBorder="1"/>
    <xf numFmtId="0" fontId="3" fillId="0" borderId="3" xfId="11" applyFont="1" applyFill="1" applyBorder="1"/>
    <xf numFmtId="0" fontId="3" fillId="0" borderId="97" xfId="11" applyFont="1" applyFill="1" applyBorder="1"/>
    <xf numFmtId="0" fontId="3" fillId="0" borderId="18" xfId="0" applyFont="1" applyFill="1" applyBorder="1"/>
    <xf numFmtId="0" fontId="3" fillId="0" borderId="21" xfId="0" applyFont="1" applyFill="1" applyBorder="1"/>
    <xf numFmtId="0" fontId="3" fillId="0" borderId="25" xfId="0" applyFont="1" applyFill="1" applyBorder="1"/>
    <xf numFmtId="167" fontId="3" fillId="0" borderId="25" xfId="1" applyNumberFormat="1" applyFont="1" applyFill="1" applyBorder="1"/>
    <xf numFmtId="9" fontId="3" fillId="0" borderId="22" xfId="5" applyFont="1" applyFill="1" applyBorder="1" applyAlignment="1">
      <alignment horizontal="left"/>
    </xf>
    <xf numFmtId="167" fontId="3" fillId="0" borderId="0" xfId="1" applyNumberFormat="1" applyFont="1" applyFill="1"/>
    <xf numFmtId="9" fontId="3" fillId="0" borderId="0" xfId="5" applyFont="1" applyFill="1" applyAlignment="1">
      <alignment horizontal="left"/>
    </xf>
    <xf numFmtId="167" fontId="6" fillId="0" borderId="1" xfId="1" applyNumberFormat="1" applyFont="1" applyFill="1" applyBorder="1" applyAlignment="1">
      <alignment horizontal="center" vertical="center" wrapText="1"/>
    </xf>
    <xf numFmtId="167" fontId="29" fillId="0" borderId="1" xfId="1" applyNumberFormat="1" applyFont="1" applyFill="1" applyBorder="1" applyAlignment="1">
      <alignment horizontal="right" vertical="center" wrapText="1"/>
    </xf>
    <xf numFmtId="167" fontId="17" fillId="0" borderId="0" xfId="1" applyNumberFormat="1" applyFont="1" applyFill="1" applyBorder="1" applyAlignment="1">
      <alignment horizontal="center" vertical="center"/>
    </xf>
    <xf numFmtId="164" fontId="3" fillId="0" borderId="0" xfId="1" applyFont="1" applyFill="1" applyAlignment="1">
      <alignment vertical="center"/>
    </xf>
    <xf numFmtId="167" fontId="17" fillId="0" borderId="0" xfId="1" quotePrefix="1" applyNumberFormat="1" applyFont="1" applyFill="1" applyBorder="1" applyAlignment="1">
      <alignment horizontal="center" vertical="center"/>
    </xf>
    <xf numFmtId="167" fontId="17" fillId="0" borderId="5" xfId="1" applyNumberFormat="1" applyFont="1" applyFill="1" applyBorder="1" applyAlignment="1">
      <alignment horizontal="center" vertical="center"/>
    </xf>
    <xf numFmtId="0" fontId="3" fillId="0" borderId="5" xfId="0" applyFont="1" applyFill="1" applyBorder="1" applyAlignment="1">
      <alignment vertical="center"/>
    </xf>
    <xf numFmtId="167" fontId="3" fillId="0" borderId="5" xfId="1" applyNumberFormat="1" applyFont="1" applyFill="1" applyBorder="1" applyAlignment="1">
      <alignment vertical="center"/>
    </xf>
    <xf numFmtId="164" fontId="3" fillId="0" borderId="5" xfId="1" applyFont="1" applyFill="1" applyBorder="1" applyAlignment="1">
      <alignment vertical="center"/>
    </xf>
    <xf numFmtId="164" fontId="3" fillId="0" borderId="0" xfId="1" applyFont="1" applyFill="1" applyBorder="1" applyAlignment="1">
      <alignment vertical="center"/>
    </xf>
    <xf numFmtId="167" fontId="17" fillId="0" borderId="12" xfId="1" applyNumberFormat="1" applyFont="1" applyFill="1" applyBorder="1" applyAlignment="1">
      <alignment horizontal="center" vertical="center"/>
    </xf>
    <xf numFmtId="0" fontId="3" fillId="0" borderId="13" xfId="0" applyFont="1" applyFill="1" applyBorder="1" applyAlignment="1">
      <alignment vertical="center"/>
    </xf>
    <xf numFmtId="167" fontId="3" fillId="0" borderId="13" xfId="1" applyNumberFormat="1" applyFont="1" applyFill="1" applyBorder="1" applyAlignment="1">
      <alignment vertical="center"/>
    </xf>
    <xf numFmtId="164" fontId="3" fillId="0" borderId="13" xfId="1" applyFont="1" applyFill="1" applyBorder="1" applyAlignment="1">
      <alignment vertical="center"/>
    </xf>
    <xf numFmtId="164" fontId="3" fillId="0" borderId="14" xfId="1" applyFont="1" applyFill="1" applyBorder="1" applyAlignment="1">
      <alignment vertical="center"/>
    </xf>
    <xf numFmtId="167" fontId="17" fillId="0" borderId="9" xfId="1" applyNumberFormat="1" applyFont="1" applyFill="1" applyBorder="1" applyAlignment="1">
      <alignment horizontal="center" vertical="center"/>
    </xf>
    <xf numFmtId="167" fontId="17" fillId="0" borderId="2" xfId="1" quotePrefix="1" applyNumberFormat="1" applyFont="1" applyFill="1" applyBorder="1" applyAlignment="1">
      <alignment horizontal="center" vertical="center"/>
    </xf>
    <xf numFmtId="164" fontId="17" fillId="0" borderId="0" xfId="1" applyFont="1" applyFill="1" applyBorder="1" applyAlignment="1">
      <alignment horizontal="center" vertical="center"/>
    </xf>
    <xf numFmtId="164" fontId="17" fillId="0" borderId="4" xfId="1" applyFont="1" applyFill="1" applyBorder="1" applyAlignment="1">
      <alignment horizontal="center" vertical="center"/>
    </xf>
    <xf numFmtId="164" fontId="17" fillId="0" borderId="0" xfId="1" applyFont="1" applyFill="1" applyAlignment="1">
      <alignment horizontal="center" vertical="center"/>
    </xf>
    <xf numFmtId="167" fontId="17" fillId="0" borderId="9" xfId="1" quotePrefix="1" applyNumberFormat="1" applyFont="1" applyFill="1" applyBorder="1" applyAlignment="1">
      <alignment horizontal="center" vertical="center"/>
    </xf>
    <xf numFmtId="167" fontId="17" fillId="0" borderId="0" xfId="1" applyNumberFormat="1" applyFont="1" applyFill="1" applyBorder="1" applyAlignment="1">
      <alignment vertical="center"/>
    </xf>
    <xf numFmtId="164" fontId="17" fillId="0" borderId="0" xfId="1" applyFont="1" applyFill="1" applyBorder="1" applyAlignment="1">
      <alignment vertical="center"/>
    </xf>
    <xf numFmtId="164" fontId="17" fillId="0" borderId="4" xfId="1" applyFont="1" applyFill="1" applyBorder="1" applyAlignment="1">
      <alignment vertical="center"/>
    </xf>
    <xf numFmtId="164" fontId="17" fillId="0" borderId="0" xfId="1" applyFont="1" applyFill="1" applyAlignment="1">
      <alignment vertical="center"/>
    </xf>
    <xf numFmtId="0" fontId="17" fillId="0" borderId="0" xfId="0" quotePrefix="1" applyFont="1" applyFill="1" applyBorder="1" applyAlignment="1">
      <alignment vertical="center"/>
    </xf>
    <xf numFmtId="167" fontId="17" fillId="0" borderId="0" xfId="1" quotePrefix="1" applyNumberFormat="1" applyFont="1" applyFill="1" applyBorder="1" applyAlignment="1">
      <alignment vertical="center"/>
    </xf>
    <xf numFmtId="164" fontId="17" fillId="0" borderId="0" xfId="1" quotePrefix="1" applyFont="1" applyFill="1" applyBorder="1" applyAlignment="1">
      <alignment vertical="center"/>
    </xf>
    <xf numFmtId="164" fontId="17" fillId="0" borderId="4" xfId="1" quotePrefix="1" applyFont="1" applyFill="1" applyBorder="1" applyAlignment="1">
      <alignment vertical="center"/>
    </xf>
    <xf numFmtId="167" fontId="3" fillId="0" borderId="16" xfId="1" applyNumberFormat="1" applyFont="1" applyFill="1" applyBorder="1" applyAlignment="1">
      <alignment vertical="center"/>
    </xf>
    <xf numFmtId="164" fontId="3" fillId="0" borderId="4" xfId="1" applyFont="1" applyFill="1" applyBorder="1" applyAlignment="1">
      <alignment vertical="center"/>
    </xf>
    <xf numFmtId="0" fontId="3" fillId="0" borderId="0" xfId="0" quotePrefix="1" applyFont="1" applyFill="1" applyBorder="1" applyAlignment="1">
      <alignment vertical="center"/>
    </xf>
    <xf numFmtId="0" fontId="3" fillId="0" borderId="15" xfId="0" quotePrefix="1" applyFont="1" applyFill="1" applyBorder="1" applyAlignment="1">
      <alignment vertical="center"/>
    </xf>
    <xf numFmtId="167" fontId="3" fillId="0" borderId="15" xfId="1" quotePrefix="1" applyNumberFormat="1" applyFont="1" applyFill="1" applyBorder="1" applyAlignment="1">
      <alignment vertical="center"/>
    </xf>
    <xf numFmtId="164" fontId="3" fillId="0" borderId="0" xfId="1" quotePrefix="1" applyFont="1" applyFill="1" applyBorder="1" applyAlignment="1">
      <alignment vertical="center"/>
    </xf>
    <xf numFmtId="164" fontId="3" fillId="0" borderId="4" xfId="1" quotePrefix="1" applyFont="1" applyFill="1" applyBorder="1" applyAlignment="1">
      <alignment vertical="center"/>
    </xf>
    <xf numFmtId="0" fontId="3" fillId="0" borderId="1" xfId="0" quotePrefix="1" applyFont="1" applyFill="1" applyBorder="1" applyAlignment="1">
      <alignment vertical="center"/>
    </xf>
    <xf numFmtId="167" fontId="3" fillId="0" borderId="1" xfId="1" quotePrefix="1" applyNumberFormat="1" applyFont="1" applyFill="1" applyBorder="1" applyAlignment="1">
      <alignment vertical="center"/>
    </xf>
    <xf numFmtId="167" fontId="17" fillId="0" borderId="8" xfId="1" applyNumberFormat="1" applyFont="1" applyFill="1" applyBorder="1" applyAlignment="1">
      <alignment horizontal="center" vertical="center"/>
    </xf>
    <xf numFmtId="164" fontId="3" fillId="0" borderId="6" xfId="1" applyFont="1" applyFill="1" applyBorder="1" applyAlignment="1">
      <alignment vertical="center"/>
    </xf>
    <xf numFmtId="0" fontId="3" fillId="0" borderId="0" xfId="0" applyFont="1" applyFill="1" applyBorder="1" applyAlignment="1">
      <alignment horizontal="left" vertical="center"/>
    </xf>
    <xf numFmtId="167" fontId="3" fillId="0" borderId="16" xfId="1" applyNumberFormat="1" applyFont="1" applyFill="1" applyBorder="1" applyAlignment="1">
      <alignment horizontal="right" vertical="center"/>
    </xf>
    <xf numFmtId="167" fontId="3" fillId="0" borderId="16" xfId="1" applyNumberFormat="1" applyFont="1" applyFill="1" applyBorder="1" applyAlignment="1">
      <alignment horizontal="left" vertical="center"/>
    </xf>
    <xf numFmtId="164" fontId="3" fillId="0" borderId="0" xfId="1" applyFont="1" applyFill="1" applyBorder="1" applyAlignment="1">
      <alignment horizontal="left" vertical="center"/>
    </xf>
    <xf numFmtId="164" fontId="3" fillId="0" borderId="4" xfId="1" applyFont="1" applyFill="1" applyBorder="1" applyAlignment="1">
      <alignment horizontal="left" vertical="center"/>
    </xf>
    <xf numFmtId="0" fontId="3" fillId="0" borderId="0" xfId="0" applyFont="1" applyFill="1" applyBorder="1" applyAlignment="1">
      <alignment wrapText="1"/>
    </xf>
    <xf numFmtId="167" fontId="3" fillId="0" borderId="1" xfId="1" applyNumberFormat="1" applyFont="1" applyFill="1" applyBorder="1" applyAlignment="1">
      <alignment vertical="center"/>
    </xf>
    <xf numFmtId="0" fontId="3" fillId="0" borderId="1" xfId="0" applyFont="1" applyFill="1" applyBorder="1" applyAlignment="1">
      <alignment horizontal="left" vertical="center"/>
    </xf>
    <xf numFmtId="167" fontId="3" fillId="0" borderId="1" xfId="1" applyNumberFormat="1" applyFont="1" applyFill="1" applyBorder="1" applyAlignment="1">
      <alignment horizontal="left" vertical="center"/>
    </xf>
    <xf numFmtId="0" fontId="3" fillId="0" borderId="15" xfId="0" applyFont="1" applyFill="1" applyBorder="1" applyAlignment="1">
      <alignment horizontal="left" vertical="center"/>
    </xf>
    <xf numFmtId="167" fontId="3" fillId="0" borderId="15" xfId="1" applyNumberFormat="1" applyFont="1" applyFill="1" applyBorder="1" applyAlignment="1">
      <alignment horizontal="left" vertical="center"/>
    </xf>
    <xf numFmtId="164" fontId="17" fillId="0" borderId="4" xfId="1" applyFont="1" applyFill="1" applyBorder="1" applyAlignment="1">
      <alignment vertical="center" wrapText="1"/>
    </xf>
    <xf numFmtId="164" fontId="3" fillId="0" borderId="0" xfId="1" applyFont="1" applyFill="1" applyBorder="1" applyAlignment="1">
      <alignment vertical="center" wrapText="1"/>
    </xf>
    <xf numFmtId="164" fontId="3" fillId="0" borderId="4" xfId="1" applyFont="1" applyFill="1" applyBorder="1" applyAlignment="1">
      <alignment vertical="center" wrapText="1"/>
    </xf>
    <xf numFmtId="0" fontId="3" fillId="0" borderId="1" xfId="0" applyFont="1" applyFill="1" applyBorder="1" applyAlignment="1">
      <alignment horizontal="right" vertical="center"/>
    </xf>
    <xf numFmtId="167" fontId="3" fillId="0" borderId="1" xfId="1" applyNumberFormat="1" applyFont="1" applyFill="1" applyBorder="1" applyAlignment="1">
      <alignment horizontal="right" vertical="center"/>
    </xf>
    <xf numFmtId="167" fontId="17" fillId="0" borderId="13" xfId="1" quotePrefix="1" applyNumberFormat="1" applyFont="1" applyFill="1" applyBorder="1" applyAlignment="1">
      <alignment horizontal="center" vertical="center"/>
    </xf>
    <xf numFmtId="167" fontId="17" fillId="0" borderId="7" xfId="0" applyNumberFormat="1" applyFont="1" applyFill="1" applyBorder="1" applyAlignment="1">
      <alignment vertical="center" wrapText="1"/>
    </xf>
    <xf numFmtId="167" fontId="3" fillId="0" borderId="0" xfId="1" applyNumberFormat="1" applyFont="1" applyFill="1" applyBorder="1" applyAlignment="1">
      <alignment horizontal="left" vertical="center"/>
    </xf>
    <xf numFmtId="164" fontId="17" fillId="0" borderId="7" xfId="1" applyFont="1" applyFill="1" applyBorder="1" applyAlignment="1">
      <alignment vertical="center" wrapText="1"/>
    </xf>
    <xf numFmtId="167" fontId="17" fillId="0" borderId="7" xfId="1" applyNumberFormat="1" applyFont="1" applyFill="1" applyBorder="1" applyAlignment="1">
      <alignment vertical="center" wrapText="1"/>
    </xf>
    <xf numFmtId="167" fontId="3" fillId="0" borderId="16" xfId="1" applyNumberFormat="1" applyFont="1" applyFill="1" applyBorder="1" applyAlignment="1">
      <alignment vertical="center" wrapText="1"/>
    </xf>
    <xf numFmtId="167" fontId="3" fillId="0" borderId="15" xfId="1" applyNumberFormat="1" applyFont="1" applyFill="1" applyBorder="1" applyAlignment="1">
      <alignment vertical="center" wrapText="1"/>
    </xf>
    <xf numFmtId="0" fontId="3" fillId="0" borderId="0" xfId="0" applyFont="1" applyFill="1" applyBorder="1" applyAlignment="1">
      <alignment horizontal="justify" vertical="center" wrapText="1"/>
    </xf>
    <xf numFmtId="167" fontId="3" fillId="0" borderId="0" xfId="1" applyNumberFormat="1" applyFont="1" applyFill="1" applyBorder="1" applyAlignment="1">
      <alignment horizontal="justify" vertical="center" wrapText="1"/>
    </xf>
    <xf numFmtId="164" fontId="3" fillId="0" borderId="0" xfId="1" applyFont="1" applyFill="1" applyBorder="1" applyAlignment="1">
      <alignment horizontal="justify" vertical="center" wrapText="1"/>
    </xf>
    <xf numFmtId="164" fontId="3" fillId="0" borderId="4" xfId="1" applyFont="1" applyFill="1" applyBorder="1" applyAlignment="1">
      <alignment horizontal="justify" vertical="center" wrapText="1"/>
    </xf>
    <xf numFmtId="0" fontId="17" fillId="0" borderId="0" xfId="0" applyFont="1" applyFill="1" applyBorder="1" applyAlignment="1"/>
    <xf numFmtId="167" fontId="17" fillId="0" borderId="0" xfId="1" applyNumberFormat="1" applyFont="1" applyFill="1" applyBorder="1" applyAlignment="1"/>
    <xf numFmtId="164" fontId="17" fillId="0" borderId="0" xfId="1" applyFont="1" applyFill="1" applyBorder="1" applyAlignment="1"/>
    <xf numFmtId="164" fontId="17" fillId="0" borderId="4" xfId="1" applyFont="1" applyFill="1" applyBorder="1" applyAlignment="1"/>
    <xf numFmtId="0" fontId="3" fillId="0" borderId="0" xfId="0" applyFont="1" applyFill="1" applyBorder="1" applyAlignment="1"/>
    <xf numFmtId="167" fontId="3" fillId="0" borderId="0" xfId="1" applyNumberFormat="1" applyFont="1" applyFill="1" applyBorder="1" applyAlignment="1"/>
    <xf numFmtId="164" fontId="3" fillId="0" borderId="0" xfId="1" applyFont="1" applyFill="1" applyBorder="1" applyAlignment="1"/>
    <xf numFmtId="164" fontId="3" fillId="0" borderId="4" xfId="1" applyFont="1" applyFill="1" applyBorder="1" applyAlignment="1"/>
    <xf numFmtId="0" fontId="3" fillId="0" borderId="0" xfId="0" applyFont="1" applyFill="1" applyBorder="1" applyAlignment="1">
      <alignment horizontal="justify" vertical="justify" wrapText="1"/>
    </xf>
    <xf numFmtId="167" fontId="3" fillId="0" borderId="0" xfId="1" applyNumberFormat="1" applyFont="1" applyFill="1" applyBorder="1" applyAlignment="1">
      <alignment horizontal="justify" vertical="justify" wrapText="1"/>
    </xf>
    <xf numFmtId="164" fontId="3" fillId="0" borderId="0" xfId="1" applyFont="1" applyFill="1" applyBorder="1" applyAlignment="1">
      <alignment horizontal="justify" vertical="justify" wrapText="1"/>
    </xf>
    <xf numFmtId="164" fontId="3" fillId="0" borderId="4" xfId="1" applyFont="1" applyFill="1" applyBorder="1" applyAlignment="1">
      <alignment horizontal="justify" vertical="justify" wrapText="1"/>
    </xf>
    <xf numFmtId="0" fontId="3" fillId="0" borderId="0" xfId="0" applyFont="1" applyFill="1" applyBorder="1" applyAlignment="1">
      <alignment horizontal="center" vertical="justify" wrapText="1"/>
    </xf>
    <xf numFmtId="0" fontId="3" fillId="0" borderId="0" xfId="0" applyFont="1" applyFill="1" applyBorder="1" applyAlignment="1">
      <alignment horizontal="center"/>
    </xf>
    <xf numFmtId="0" fontId="3" fillId="0" borderId="0" xfId="0" applyFont="1" applyFill="1" applyBorder="1" applyAlignment="1">
      <alignment horizontal="center" vertical="justify"/>
    </xf>
    <xf numFmtId="0" fontId="3" fillId="0" borderId="4" xfId="0" applyFont="1" applyFill="1" applyBorder="1" applyAlignment="1">
      <alignment horizontal="center" vertical="justify" wrapText="1"/>
    </xf>
    <xf numFmtId="170" fontId="3" fillId="0" borderId="0" xfId="1" applyNumberFormat="1" applyFont="1" applyFill="1" applyBorder="1" applyAlignment="1"/>
    <xf numFmtId="170" fontId="3" fillId="0" borderId="4" xfId="1" applyNumberFormat="1" applyFont="1" applyFill="1" applyBorder="1" applyAlignment="1"/>
    <xf numFmtId="167" fontId="3" fillId="0" borderId="4" xfId="1" applyNumberFormat="1" applyFont="1" applyFill="1" applyBorder="1" applyAlignment="1"/>
    <xf numFmtId="167" fontId="17" fillId="0" borderId="7" xfId="1" applyNumberFormat="1" applyFont="1" applyFill="1" applyBorder="1" applyAlignment="1"/>
    <xf numFmtId="0" fontId="17" fillId="0" borderId="0" xfId="0" applyFont="1" applyFill="1" applyBorder="1" applyAlignment="1">
      <alignment horizontal="justify" vertical="justify" wrapText="1"/>
    </xf>
    <xf numFmtId="167" fontId="17" fillId="0" borderId="59" xfId="1" applyNumberFormat="1" applyFont="1" applyFill="1" applyBorder="1" applyAlignment="1"/>
    <xf numFmtId="167" fontId="3" fillId="0" borderId="5" xfId="1" applyNumberFormat="1" applyFont="1" applyFill="1" applyBorder="1" applyAlignment="1"/>
    <xf numFmtId="167" fontId="3" fillId="0" borderId="6" xfId="1" applyNumberFormat="1" applyFont="1" applyFill="1" applyBorder="1" applyAlignment="1"/>
    <xf numFmtId="167" fontId="3" fillId="0" borderId="13" xfId="1" applyNumberFormat="1" applyFont="1" applyFill="1" applyBorder="1" applyAlignment="1"/>
    <xf numFmtId="167" fontId="3" fillId="0" borderId="0" xfId="1" applyNumberFormat="1" applyFont="1" applyFill="1" applyBorder="1" applyAlignment="1">
      <alignment wrapText="1"/>
    </xf>
    <xf numFmtId="164" fontId="3" fillId="0" borderId="0" xfId="1" applyFont="1" applyFill="1" applyBorder="1" applyAlignment="1">
      <alignment wrapText="1"/>
    </xf>
    <xf numFmtId="164" fontId="3" fillId="0" borderId="4" xfId="1" applyFont="1" applyFill="1" applyBorder="1" applyAlignment="1">
      <alignment wrapText="1"/>
    </xf>
    <xf numFmtId="167" fontId="3" fillId="0" borderId="1" xfId="1" applyNumberFormat="1" applyFont="1" applyFill="1" applyBorder="1" applyAlignment="1">
      <alignment vertical="center" wrapText="1"/>
    </xf>
    <xf numFmtId="0" fontId="22" fillId="0" borderId="0" xfId="0" applyFont="1" applyFill="1" applyBorder="1" applyAlignment="1">
      <alignment vertical="center" wrapText="1"/>
    </xf>
    <xf numFmtId="167" fontId="22" fillId="0" borderId="0" xfId="1" applyNumberFormat="1" applyFont="1" applyFill="1" applyBorder="1" applyAlignment="1">
      <alignment vertical="center" wrapText="1"/>
    </xf>
    <xf numFmtId="164" fontId="22" fillId="0" borderId="0" xfId="1" applyFont="1" applyFill="1" applyBorder="1" applyAlignment="1">
      <alignment vertical="center" wrapText="1"/>
    </xf>
    <xf numFmtId="164" fontId="22" fillId="0" borderId="4" xfId="1" applyFont="1" applyFill="1" applyBorder="1" applyAlignment="1">
      <alignment vertical="center" wrapText="1"/>
    </xf>
    <xf numFmtId="0" fontId="17" fillId="0" borderId="7" xfId="0" applyFont="1" applyFill="1" applyBorder="1" applyAlignment="1">
      <alignment vertical="center" wrapText="1"/>
    </xf>
    <xf numFmtId="167" fontId="3" fillId="0" borderId="0" xfId="0" applyNumberFormat="1" applyFont="1" applyFill="1" applyBorder="1" applyAlignment="1">
      <alignment vertical="center" wrapText="1"/>
    </xf>
    <xf numFmtId="0" fontId="3" fillId="0" borderId="7" xfId="0" applyFont="1" applyFill="1" applyBorder="1" applyAlignment="1">
      <alignment vertical="center" wrapText="1"/>
    </xf>
    <xf numFmtId="167" fontId="3" fillId="0" borderId="7" xfId="1" applyNumberFormat="1" applyFont="1" applyFill="1" applyBorder="1" applyAlignment="1">
      <alignment vertical="center" wrapText="1"/>
    </xf>
    <xf numFmtId="173" fontId="3" fillId="0" borderId="0" xfId="0" applyNumberFormat="1" applyFont="1" applyFill="1" applyBorder="1"/>
    <xf numFmtId="173" fontId="3" fillId="0" borderId="0" xfId="1" applyNumberFormat="1" applyFont="1" applyFill="1" applyBorder="1"/>
    <xf numFmtId="173" fontId="17" fillId="0" borderId="7" xfId="0" applyNumberFormat="1" applyFont="1" applyFill="1" applyBorder="1"/>
    <xf numFmtId="0" fontId="3" fillId="0" borderId="0" xfId="0" applyFont="1" applyFill="1" applyBorder="1" applyAlignment="1">
      <alignment vertical="top"/>
    </xf>
    <xf numFmtId="173" fontId="17" fillId="0" borderId="0" xfId="0" applyNumberFormat="1" applyFont="1" applyFill="1" applyBorder="1" applyAlignment="1">
      <alignment horizontal="center" vertical="top" wrapText="1"/>
    </xf>
    <xf numFmtId="0" fontId="17" fillId="0" borderId="0" xfId="0" applyFont="1" applyFill="1" applyBorder="1" applyAlignment="1">
      <alignment horizontal="left"/>
    </xf>
    <xf numFmtId="173" fontId="17" fillId="0" borderId="7" xfId="1" applyNumberFormat="1" applyFont="1" applyFill="1" applyBorder="1"/>
    <xf numFmtId="0" fontId="3" fillId="0" borderId="0" xfId="0" applyFont="1" applyFill="1" applyBorder="1" applyAlignment="1">
      <alignment horizontal="left" vertical="center" wrapText="1"/>
    </xf>
    <xf numFmtId="164" fontId="3" fillId="0" borderId="0" xfId="1" applyFont="1" applyFill="1" applyBorder="1" applyAlignment="1">
      <alignment horizontal="left" vertical="center" wrapText="1"/>
    </xf>
    <xf numFmtId="164" fontId="3" fillId="0" borderId="4" xfId="1" applyFont="1" applyFill="1" applyBorder="1" applyAlignment="1">
      <alignment horizontal="left" vertical="center" wrapText="1"/>
    </xf>
    <xf numFmtId="167" fontId="17" fillId="0" borderId="26" xfId="1" applyNumberFormat="1" applyFont="1" applyFill="1" applyBorder="1" applyAlignment="1">
      <alignment vertical="center"/>
    </xf>
    <xf numFmtId="167" fontId="3" fillId="0" borderId="2" xfId="1" applyNumberFormat="1" applyFont="1" applyFill="1" applyBorder="1" applyAlignment="1">
      <alignment vertical="center"/>
    </xf>
    <xf numFmtId="167" fontId="17" fillId="0" borderId="0" xfId="1" applyNumberFormat="1" applyFont="1" applyFill="1" applyAlignment="1">
      <alignment horizontal="center" vertical="center"/>
    </xf>
    <xf numFmtId="167" fontId="3" fillId="0" borderId="0" xfId="1" applyNumberFormat="1" applyFont="1" applyFill="1" applyAlignment="1">
      <alignment vertical="center"/>
    </xf>
    <xf numFmtId="15" fontId="17" fillId="0" borderId="0" xfId="0" applyNumberFormat="1" applyFont="1" applyFill="1" applyBorder="1" applyAlignment="1">
      <alignment horizontal="center"/>
    </xf>
    <xf numFmtId="15" fontId="3" fillId="0" borderId="0" xfId="0" applyNumberFormat="1" applyFont="1" applyFill="1" applyBorder="1" applyAlignment="1">
      <alignment horizontal="center"/>
    </xf>
    <xf numFmtId="167" fontId="17" fillId="0" borderId="0" xfId="1" quotePrefix="1" applyNumberFormat="1" applyFont="1" applyFill="1" applyBorder="1" applyAlignment="1">
      <alignment horizontal="center"/>
    </xf>
    <xf numFmtId="167" fontId="17" fillId="0" borderId="0" xfId="1" applyNumberFormat="1" applyFont="1" applyFill="1"/>
    <xf numFmtId="0" fontId="17" fillId="0" borderId="0" xfId="0" applyFont="1" applyFill="1"/>
    <xf numFmtId="167" fontId="3" fillId="0" borderId="0" xfId="1" applyNumberFormat="1" applyFont="1" applyFill="1" applyBorder="1" applyAlignment="1">
      <alignment horizontal="center"/>
    </xf>
    <xf numFmtId="167" fontId="3" fillId="0" borderId="0" xfId="1" applyNumberFormat="1" applyFont="1" applyFill="1" applyAlignment="1">
      <alignment horizontal="center"/>
    </xf>
    <xf numFmtId="0" fontId="17" fillId="0" borderId="0" xfId="0" applyFont="1" applyFill="1" applyBorder="1" applyAlignment="1">
      <alignment horizontal="left" indent="1"/>
    </xf>
    <xf numFmtId="167" fontId="17" fillId="0" borderId="7" xfId="1" applyNumberFormat="1" applyFont="1" applyFill="1" applyBorder="1" applyAlignment="1">
      <alignment horizontal="center"/>
    </xf>
    <xf numFmtId="167" fontId="17" fillId="0" borderId="0" xfId="0" applyNumberFormat="1" applyFont="1" applyFill="1" applyBorder="1" applyAlignment="1">
      <alignment horizontal="center"/>
    </xf>
    <xf numFmtId="0" fontId="22" fillId="0" borderId="0" xfId="0" applyFont="1" applyFill="1" applyBorder="1"/>
    <xf numFmtId="167" fontId="3" fillId="0" borderId="0" xfId="1" applyNumberFormat="1" applyFont="1" applyFill="1" applyBorder="1" applyAlignment="1">
      <alignment horizontal="right" vertical="center" wrapText="1"/>
    </xf>
    <xf numFmtId="0" fontId="3" fillId="0" borderId="0" xfId="0" applyFont="1" applyFill="1" applyBorder="1" applyAlignment="1">
      <alignment horizontal="center" vertical="center"/>
    </xf>
    <xf numFmtId="167" fontId="17" fillId="0" borderId="0" xfId="0" applyNumberFormat="1" applyFont="1" applyFill="1"/>
    <xf numFmtId="164" fontId="17" fillId="0" borderId="0" xfId="1" applyFont="1" applyFill="1"/>
    <xf numFmtId="0" fontId="22" fillId="0" borderId="0" xfId="0" applyFont="1" applyFill="1"/>
    <xf numFmtId="164" fontId="22" fillId="0" borderId="0" xfId="1" applyFont="1" applyFill="1"/>
    <xf numFmtId="167" fontId="3" fillId="0" borderId="0" xfId="1" applyNumberFormat="1" applyFont="1" applyFill="1" applyBorder="1" applyAlignment="1">
      <alignment horizontal="left" vertical="center" wrapText="1"/>
    </xf>
    <xf numFmtId="164" fontId="3" fillId="0" borderId="0" xfId="1" applyFont="1" applyFill="1"/>
    <xf numFmtId="164" fontId="17" fillId="0" borderId="0" xfId="0" applyNumberFormat="1" applyFont="1" applyFill="1"/>
    <xf numFmtId="167" fontId="17" fillId="0" borderId="0" xfId="1" applyNumberFormat="1" applyFont="1" applyFill="1" applyBorder="1" applyAlignment="1">
      <alignment horizontal="center"/>
    </xf>
    <xf numFmtId="43" fontId="3" fillId="0" borderId="0" xfId="0" applyNumberFormat="1" applyFont="1" applyFill="1"/>
    <xf numFmtId="0" fontId="61" fillId="0" borderId="0" xfId="0" applyFont="1" applyFill="1"/>
    <xf numFmtId="0" fontId="3" fillId="0" borderId="0" xfId="0" quotePrefix="1" applyFont="1" applyFill="1"/>
    <xf numFmtId="0" fontId="17" fillId="0" borderId="0" xfId="0" applyFont="1" applyFill="1" applyAlignment="1">
      <alignment horizontal="center"/>
    </xf>
    <xf numFmtId="0" fontId="3" fillId="0" borderId="0" xfId="0" applyFont="1" applyFill="1" applyBorder="1" applyAlignment="1">
      <alignment horizontal="center" vertical="center" wrapText="1"/>
    </xf>
    <xf numFmtId="0" fontId="3" fillId="0" borderId="37" xfId="0" applyFont="1" applyFill="1" applyBorder="1" applyAlignment="1">
      <alignment vertical="center" wrapText="1"/>
    </xf>
    <xf numFmtId="0" fontId="3" fillId="0" borderId="37" xfId="0" applyFont="1" applyFill="1" applyBorder="1" applyAlignment="1">
      <alignment vertical="center"/>
    </xf>
    <xf numFmtId="0" fontId="3" fillId="0" borderId="37" xfId="0" quotePrefix="1" applyFont="1" applyFill="1" applyBorder="1" applyAlignment="1">
      <alignment horizontal="left" vertical="center" wrapText="1"/>
    </xf>
    <xf numFmtId="0" fontId="6" fillId="0" borderId="0" xfId="0" applyFont="1" applyFill="1" applyBorder="1" applyAlignment="1">
      <alignment vertical="center"/>
    </xf>
    <xf numFmtId="0" fontId="29" fillId="0" borderId="0" xfId="0" applyFont="1" applyFill="1" applyBorder="1" applyAlignment="1">
      <alignment horizontal="center" vertical="center"/>
    </xf>
    <xf numFmtId="0" fontId="6" fillId="0" borderId="0" xfId="0" applyFont="1" applyFill="1" applyBorder="1" applyAlignment="1">
      <alignment vertical="center" wrapText="1"/>
    </xf>
    <xf numFmtId="0" fontId="29" fillId="5" borderId="0" xfId="0" applyFont="1" applyFill="1" applyBorder="1" applyAlignment="1">
      <alignment wrapText="1"/>
    </xf>
    <xf numFmtId="0" fontId="6" fillId="5" borderId="0" xfId="0" applyFont="1" applyFill="1" applyBorder="1" applyAlignment="1">
      <alignment wrapText="1"/>
    </xf>
    <xf numFmtId="167" fontId="3" fillId="0" borderId="15" xfId="1" applyNumberFormat="1" applyFont="1" applyFill="1" applyBorder="1" applyAlignment="1">
      <alignment wrapText="1"/>
    </xf>
    <xf numFmtId="167" fontId="3" fillId="0" borderId="15" xfId="1" applyNumberFormat="1" applyFont="1" applyFill="1" applyBorder="1" applyAlignment="1">
      <alignment vertical="center"/>
    </xf>
    <xf numFmtId="0" fontId="29" fillId="5" borderId="0" xfId="0" quotePrefix="1" applyFont="1" applyFill="1" applyBorder="1" applyAlignment="1">
      <alignment horizontal="center" vertical="center"/>
    </xf>
    <xf numFmtId="1" fontId="29" fillId="5" borderId="0" xfId="0" quotePrefix="1" applyNumberFormat="1" applyFont="1" applyFill="1" applyBorder="1" applyAlignment="1">
      <alignment horizontal="center" vertical="center"/>
    </xf>
    <xf numFmtId="0" fontId="2" fillId="0" borderId="0" xfId="0" applyFont="1" applyAlignment="1">
      <alignment vertical="center"/>
    </xf>
    <xf numFmtId="167" fontId="2" fillId="0" borderId="0" xfId="1" applyNumberFormat="1" applyFont="1" applyAlignment="1">
      <alignment vertical="center"/>
    </xf>
    <xf numFmtId="164" fontId="2" fillId="0" borderId="0" xfId="1" applyNumberFormat="1" applyFont="1" applyBorder="1" applyAlignment="1">
      <alignment vertical="center"/>
    </xf>
    <xf numFmtId="0" fontId="2" fillId="0" borderId="0" xfId="0" applyFont="1" applyBorder="1" applyAlignment="1">
      <alignment horizontal="justify" vertical="center"/>
    </xf>
    <xf numFmtId="0" fontId="2" fillId="0" borderId="0" xfId="0" applyFont="1" applyBorder="1" applyAlignment="1">
      <alignment vertical="center"/>
    </xf>
    <xf numFmtId="0" fontId="2" fillId="0" borderId="0" xfId="0" applyFont="1" applyAlignment="1">
      <alignment horizontal="justify" vertical="center"/>
    </xf>
    <xf numFmtId="0" fontId="2" fillId="0" borderId="0" xfId="0" applyFont="1" applyBorder="1" applyAlignment="1">
      <alignment horizontal="justify" vertical="justify" wrapText="1"/>
    </xf>
    <xf numFmtId="0" fontId="2" fillId="5" borderId="0" xfId="0" applyFont="1" applyFill="1" applyBorder="1"/>
    <xf numFmtId="0" fontId="2" fillId="5" borderId="0" xfId="0" applyFont="1" applyFill="1" applyBorder="1" applyAlignment="1">
      <alignment wrapText="1"/>
    </xf>
    <xf numFmtId="0" fontId="2" fillId="0" borderId="0" xfId="2" applyFont="1" applyFill="1" applyBorder="1" applyAlignment="1">
      <alignment horizontal="justify" vertical="center" wrapText="1"/>
    </xf>
    <xf numFmtId="0" fontId="2" fillId="0" borderId="0" xfId="0" applyFont="1" applyBorder="1" applyAlignment="1">
      <alignment horizontal="justify" vertical="center" wrapText="1"/>
    </xf>
    <xf numFmtId="16" fontId="2" fillId="0" borderId="70" xfId="0" quotePrefix="1" applyNumberFormat="1" applyFont="1" applyBorder="1" applyAlignment="1">
      <alignment horizontal="center" vertical="center"/>
    </xf>
    <xf numFmtId="0" fontId="2" fillId="0" borderId="70" xfId="0" applyFont="1" applyBorder="1" applyAlignment="1">
      <alignment horizontal="center" vertical="center"/>
    </xf>
    <xf numFmtId="0" fontId="2" fillId="0" borderId="70" xfId="0" quotePrefix="1" applyFont="1" applyBorder="1" applyAlignment="1">
      <alignment horizontal="center" vertical="center"/>
    </xf>
    <xf numFmtId="0" fontId="2" fillId="0" borderId="0" xfId="0" quotePrefix="1" applyFont="1" applyBorder="1" applyAlignment="1">
      <alignment horizontal="center" vertical="center"/>
    </xf>
    <xf numFmtId="0" fontId="2" fillId="5" borderId="0" xfId="0" applyFont="1" applyFill="1" applyBorder="1" applyAlignment="1">
      <alignment horizontal="justify" vertical="center" wrapText="1"/>
    </xf>
    <xf numFmtId="0" fontId="2" fillId="0" borderId="0" xfId="0" applyFont="1" applyBorder="1" applyAlignment="1">
      <alignment vertical="center" wrapText="1"/>
    </xf>
    <xf numFmtId="0" fontId="2" fillId="0" borderId="0" xfId="0" applyFont="1" applyFill="1" applyAlignment="1">
      <alignment horizontal="justify" vertical="center"/>
    </xf>
    <xf numFmtId="0" fontId="2" fillId="0" borderId="0" xfId="0" applyFont="1" applyBorder="1" applyAlignment="1">
      <alignment horizontal="left" vertical="center" wrapText="1"/>
    </xf>
    <xf numFmtId="0" fontId="2" fillId="0" borderId="0" xfId="0" applyFont="1" applyFill="1" applyBorder="1" applyAlignment="1">
      <alignment horizontal="justify" vertical="center" wrapText="1"/>
    </xf>
    <xf numFmtId="0" fontId="2" fillId="0" borderId="0" xfId="0" applyFont="1" applyAlignment="1">
      <alignment horizontal="justify" vertical="center" wrapText="1"/>
    </xf>
    <xf numFmtId="167" fontId="2" fillId="0" borderId="0" xfId="1" applyNumberFormat="1" applyFont="1" applyAlignment="1">
      <alignment horizontal="justify" vertical="center"/>
    </xf>
    <xf numFmtId="164" fontId="2" fillId="0" borderId="0" xfId="1" applyNumberFormat="1" applyFont="1" applyAlignment="1">
      <alignment vertical="center"/>
    </xf>
    <xf numFmtId="0" fontId="2" fillId="5" borderId="0" xfId="0" applyFont="1" applyFill="1" applyBorder="1" applyAlignment="1">
      <alignment vertical="center"/>
    </xf>
    <xf numFmtId="0" fontId="2" fillId="5" borderId="0" xfId="0" applyFont="1" applyFill="1" applyBorder="1" applyAlignment="1">
      <alignment vertical="center" wrapText="1"/>
    </xf>
    <xf numFmtId="0" fontId="2" fillId="3" borderId="0" xfId="0" applyFont="1" applyFill="1" applyBorder="1" applyAlignment="1">
      <alignment vertical="center" wrapText="1"/>
    </xf>
    <xf numFmtId="0" fontId="2" fillId="5" borderId="0" xfId="0" applyFont="1" applyFill="1" applyAlignment="1">
      <alignment horizontal="justify" vertical="center" wrapText="1"/>
    </xf>
    <xf numFmtId="0" fontId="2" fillId="3" borderId="0" xfId="0" applyFont="1" applyFill="1" applyAlignment="1">
      <alignment horizontal="justify" vertical="center" wrapText="1"/>
    </xf>
    <xf numFmtId="16" fontId="2" fillId="0" borderId="0" xfId="0" quotePrefix="1" applyNumberFormat="1" applyFont="1" applyFill="1" applyBorder="1" applyAlignment="1">
      <alignment vertical="center" wrapText="1"/>
    </xf>
    <xf numFmtId="0" fontId="2" fillId="3" borderId="0" xfId="0" applyFont="1" applyFill="1" applyBorder="1" applyAlignment="1">
      <alignment horizontal="justify" vertical="center" wrapText="1"/>
    </xf>
    <xf numFmtId="0" fontId="2" fillId="3" borderId="0" xfId="0" applyNumberFormat="1" applyFont="1" applyFill="1" applyBorder="1" applyAlignment="1">
      <alignment horizontal="justify" vertical="center" wrapText="1"/>
    </xf>
    <xf numFmtId="0" fontId="2" fillId="5" borderId="0" xfId="0" applyFont="1" applyFill="1" applyBorder="1" applyAlignment="1">
      <alignment horizontal="center" vertical="center" wrapText="1"/>
    </xf>
    <xf numFmtId="0" fontId="2" fillId="5" borderId="0" xfId="0" applyNumberFormat="1" applyFont="1" applyFill="1" applyBorder="1" applyAlignment="1">
      <alignment horizontal="justify" vertical="center" wrapText="1"/>
    </xf>
    <xf numFmtId="0" fontId="2" fillId="5" borderId="0" xfId="0" applyNumberFormat="1" applyFont="1" applyFill="1" applyBorder="1" applyAlignment="1">
      <alignment vertical="center" wrapText="1"/>
    </xf>
    <xf numFmtId="0" fontId="2" fillId="0" borderId="0" xfId="0" applyFont="1" applyFill="1" applyBorder="1" applyAlignment="1">
      <alignment vertical="center" wrapText="1"/>
    </xf>
    <xf numFmtId="0" fontId="2" fillId="5" borderId="0" xfId="0" applyFont="1" applyFill="1" applyAlignment="1">
      <alignment vertical="center" wrapText="1"/>
    </xf>
    <xf numFmtId="0" fontId="2" fillId="5" borderId="0" xfId="0" quotePrefix="1" applyNumberFormat="1" applyFont="1" applyFill="1" applyBorder="1" applyAlignment="1">
      <alignment horizontal="justify" vertical="center" wrapText="1"/>
    </xf>
    <xf numFmtId="0" fontId="2" fillId="5" borderId="0" xfId="0" quotePrefix="1" applyFont="1" applyFill="1" applyBorder="1" applyAlignment="1">
      <alignment horizontal="justify" vertical="center" wrapText="1"/>
    </xf>
    <xf numFmtId="0" fontId="6" fillId="0" borderId="0" xfId="0" applyFont="1" applyFill="1" applyBorder="1" applyAlignment="1">
      <alignment vertical="center"/>
    </xf>
    <xf numFmtId="173" fontId="32" fillId="0" borderId="0" xfId="15" applyNumberFormat="1" applyFont="1" applyFill="1" applyAlignment="1">
      <alignment vertical="center"/>
    </xf>
    <xf numFmtId="0" fontId="1" fillId="0" borderId="0" xfId="0" applyFont="1" applyFill="1" applyBorder="1" applyAlignment="1">
      <alignment horizontal="left" vertical="center" wrapText="1"/>
    </xf>
    <xf numFmtId="167" fontId="6" fillId="0" borderId="15" xfId="1" applyNumberFormat="1" applyFont="1" applyFill="1" applyBorder="1" applyAlignment="1">
      <alignment horizontal="center" vertical="center"/>
    </xf>
    <xf numFmtId="167" fontId="6" fillId="0" borderId="2" xfId="1" applyNumberFormat="1" applyFont="1" applyFill="1" applyBorder="1" applyAlignment="1">
      <alignment horizontal="center" vertical="center"/>
    </xf>
    <xf numFmtId="167" fontId="6" fillId="0" borderId="25" xfId="1" applyNumberFormat="1" applyFont="1" applyFill="1" applyBorder="1" applyAlignment="1">
      <alignment horizontal="center" vertical="center"/>
    </xf>
    <xf numFmtId="0" fontId="3" fillId="0" borderId="37" xfId="0" applyFont="1" applyFill="1" applyBorder="1" applyAlignment="1">
      <alignment horizontal="left" vertical="center" wrapText="1"/>
    </xf>
    <xf numFmtId="0" fontId="6" fillId="0" borderId="0" xfId="0" applyFont="1" applyFill="1" applyBorder="1" applyAlignment="1">
      <alignment horizontal="left" vertical="center"/>
    </xf>
    <xf numFmtId="164" fontId="29" fillId="0" borderId="5" xfId="1" applyFont="1" applyFill="1" applyBorder="1" applyAlignment="1">
      <alignment horizontal="right" vertical="center" wrapText="1"/>
    </xf>
    <xf numFmtId="164" fontId="6" fillId="0" borderId="2" xfId="1" applyFont="1" applyFill="1" applyBorder="1" applyAlignment="1">
      <alignment horizontal="right" vertical="center" wrapText="1"/>
    </xf>
    <xf numFmtId="164" fontId="29" fillId="0" borderId="15" xfId="1" applyFont="1" applyFill="1" applyBorder="1" applyAlignment="1">
      <alignment horizontal="right" vertical="center" wrapText="1"/>
    </xf>
    <xf numFmtId="164" fontId="6" fillId="0" borderId="11" xfId="1" applyFont="1" applyFill="1" applyBorder="1" applyAlignment="1">
      <alignment horizontal="right" vertical="center" wrapText="1"/>
    </xf>
    <xf numFmtId="0" fontId="1" fillId="0" borderId="0" xfId="0" applyFont="1" applyFill="1" applyBorder="1" applyAlignment="1">
      <alignment vertical="center" wrapText="1"/>
    </xf>
    <xf numFmtId="167" fontId="3" fillId="6" borderId="0" xfId="0" applyNumberFormat="1" applyFont="1" applyFill="1" applyBorder="1" applyAlignment="1">
      <alignment vertical="center" wrapText="1"/>
    </xf>
    <xf numFmtId="0" fontId="29" fillId="0" borderId="0" xfId="0" applyFont="1" applyAlignment="1"/>
    <xf numFmtId="0" fontId="6" fillId="0" borderId="0" xfId="0" applyFont="1" applyAlignment="1">
      <alignment horizontal="justify"/>
    </xf>
    <xf numFmtId="0" fontId="6" fillId="0" borderId="0" xfId="0" applyFont="1" applyBorder="1" applyAlignment="1">
      <alignment horizontal="justify" vertical="justify" wrapText="1"/>
    </xf>
    <xf numFmtId="0" fontId="16" fillId="6" borderId="0" xfId="0" applyFont="1" applyFill="1" applyAlignment="1">
      <alignment vertical="center"/>
    </xf>
    <xf numFmtId="164" fontId="16" fillId="6" borderId="2" xfId="1" applyFont="1" applyFill="1" applyBorder="1" applyAlignment="1">
      <alignment vertical="center"/>
    </xf>
    <xf numFmtId="164" fontId="16" fillId="6" borderId="0" xfId="1" applyFont="1" applyFill="1" applyAlignment="1">
      <alignment vertical="center"/>
    </xf>
    <xf numFmtId="0" fontId="29" fillId="0" borderId="2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19" xfId="0" applyFont="1" applyFill="1" applyBorder="1" applyAlignment="1">
      <alignment horizontal="center" vertical="center"/>
    </xf>
    <xf numFmtId="0" fontId="6" fillId="0" borderId="0" xfId="0" applyFont="1" applyFill="1" applyBorder="1" applyAlignment="1">
      <alignment horizontal="left" vertical="center" wrapText="1"/>
    </xf>
    <xf numFmtId="0" fontId="29" fillId="0" borderId="0" xfId="0" quotePrefix="1" applyFont="1" applyFill="1" applyBorder="1" applyAlignment="1">
      <alignment horizontal="center" vertical="center"/>
    </xf>
    <xf numFmtId="0" fontId="29" fillId="0" borderId="18" xfId="0" quotePrefix="1" applyFont="1" applyFill="1" applyBorder="1" applyAlignment="1">
      <alignment horizontal="center" vertical="center"/>
    </xf>
    <xf numFmtId="167" fontId="29" fillId="0" borderId="0" xfId="1" quotePrefix="1" applyNumberFormat="1" applyFont="1" applyFill="1" applyBorder="1" applyAlignment="1">
      <alignment horizontal="center" vertical="center"/>
    </xf>
    <xf numFmtId="0" fontId="33" fillId="0" borderId="0" xfId="0" applyFont="1" applyFill="1" applyBorder="1" applyAlignment="1">
      <alignment vertical="center" wrapText="1"/>
    </xf>
    <xf numFmtId="0" fontId="29" fillId="0" borderId="0" xfId="0" applyFont="1" applyFill="1" applyBorder="1" applyAlignment="1">
      <alignment horizontal="center" vertical="center" wrapText="1"/>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29" fillId="0" borderId="67" xfId="0" applyFont="1" applyFill="1" applyBorder="1" applyAlignment="1">
      <alignment horizontal="center" vertical="center"/>
    </xf>
    <xf numFmtId="0" fontId="29" fillId="0" borderId="0" xfId="0" applyFont="1" applyFill="1" applyAlignment="1">
      <alignment horizontal="center" vertical="center"/>
    </xf>
    <xf numFmtId="0" fontId="29" fillId="0" borderId="13"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3" fillId="0" borderId="0" xfId="0" applyFont="1" applyFill="1" applyBorder="1" applyAlignment="1">
      <alignment vertical="center" wrapText="1"/>
    </xf>
    <xf numFmtId="0" fontId="29" fillId="0" borderId="19" xfId="0" quotePrefix="1" applyFont="1" applyFill="1" applyBorder="1" applyAlignment="1">
      <alignment horizontal="center" vertical="center"/>
    </xf>
    <xf numFmtId="0" fontId="29" fillId="0" borderId="0" xfId="0" applyFont="1" applyFill="1" applyBorder="1" applyAlignment="1">
      <alignment horizontal="center" vertical="center"/>
    </xf>
    <xf numFmtId="0" fontId="29" fillId="0" borderId="19" xfId="0" applyFont="1" applyFill="1" applyBorder="1" applyAlignment="1">
      <alignment horizontal="center" vertical="center"/>
    </xf>
    <xf numFmtId="15" fontId="29" fillId="0" borderId="0" xfId="0" quotePrefix="1" applyNumberFormat="1" applyFont="1" applyFill="1" applyBorder="1" applyAlignment="1">
      <alignment horizontal="center" vertical="center"/>
    </xf>
    <xf numFmtId="166" fontId="29" fillId="0" borderId="0" xfId="0" applyNumberFormat="1" applyFont="1" applyFill="1" applyBorder="1" applyAlignment="1">
      <alignment horizontal="center" vertical="center"/>
    </xf>
    <xf numFmtId="166" fontId="29" fillId="0" borderId="0" xfId="0" quotePrefix="1" applyNumberFormat="1" applyFont="1" applyFill="1" applyBorder="1" applyAlignment="1">
      <alignment horizontal="center" vertical="center"/>
    </xf>
    <xf numFmtId="0" fontId="29" fillId="0" borderId="0" xfId="14" applyFont="1" applyFill="1" applyAlignment="1">
      <alignment horizontal="center" vertical="center"/>
    </xf>
    <xf numFmtId="167" fontId="29" fillId="0" borderId="0" xfId="1" quotePrefix="1" applyNumberFormat="1" applyFont="1" applyFill="1" applyBorder="1" applyAlignment="1">
      <alignment horizontal="center" vertical="center"/>
    </xf>
    <xf numFmtId="0" fontId="6" fillId="0" borderId="0" xfId="0" applyFont="1" applyFill="1" applyBorder="1" applyAlignment="1">
      <alignment vertical="center"/>
    </xf>
    <xf numFmtId="167" fontId="17" fillId="0" borderId="0" xfId="1" applyNumberFormat="1" applyFont="1" applyFill="1" applyBorder="1"/>
    <xf numFmtId="167" fontId="17" fillId="0" borderId="0" xfId="1" applyNumberFormat="1" applyFont="1" applyFill="1" applyBorder="1" applyAlignment="1">
      <alignment horizontal="left" indent="1"/>
    </xf>
    <xf numFmtId="0" fontId="29" fillId="0" borderId="0" xfId="0" applyFont="1" applyFill="1" applyBorder="1" applyAlignment="1">
      <alignment horizontal="center"/>
    </xf>
    <xf numFmtId="0" fontId="29" fillId="0" borderId="18" xfId="0" applyFont="1" applyFill="1" applyBorder="1" applyAlignment="1">
      <alignment horizontal="center"/>
    </xf>
    <xf numFmtId="0" fontId="29" fillId="0" borderId="19" xfId="0" applyFont="1" applyFill="1" applyBorder="1" applyAlignment="1">
      <alignment horizontal="center"/>
    </xf>
    <xf numFmtId="0" fontId="29" fillId="0" borderId="18" xfId="0" quotePrefix="1" applyFont="1" applyFill="1" applyBorder="1" applyAlignment="1">
      <alignment horizontal="center"/>
    </xf>
    <xf numFmtId="0" fontId="29" fillId="0" borderId="0" xfId="0" quotePrefix="1" applyFont="1" applyFill="1" applyBorder="1" applyAlignment="1">
      <alignment horizontal="center"/>
    </xf>
    <xf numFmtId="0" fontId="6" fillId="0" borderId="0" xfId="0" applyFont="1" applyFill="1" applyBorder="1" applyAlignment="1">
      <alignment vertical="center"/>
    </xf>
    <xf numFmtId="0" fontId="6" fillId="0" borderId="0" xfId="0" applyFont="1" applyFill="1" applyBorder="1" applyAlignment="1">
      <alignment vertical="top" wrapText="1"/>
    </xf>
    <xf numFmtId="164" fontId="15" fillId="6" borderId="39" xfId="1" applyFont="1" applyFill="1" applyBorder="1" applyAlignment="1">
      <alignment vertical="center"/>
    </xf>
    <xf numFmtId="167" fontId="29" fillId="6" borderId="0" xfId="1" applyNumberFormat="1" applyFont="1" applyFill="1" applyBorder="1" applyAlignment="1">
      <alignment horizontal="right" vertical="center" wrapText="1"/>
    </xf>
    <xf numFmtId="167" fontId="17" fillId="6" borderId="0" xfId="1" applyNumberFormat="1" applyFont="1" applyFill="1" applyBorder="1" applyAlignment="1">
      <alignment horizontal="right" vertical="center" wrapText="1"/>
    </xf>
    <xf numFmtId="167" fontId="3" fillId="6" borderId="1" xfId="1" applyNumberFormat="1" applyFont="1" applyFill="1" applyBorder="1" applyAlignment="1">
      <alignment vertical="center"/>
    </xf>
    <xf numFmtId="167" fontId="3" fillId="6" borderId="16" xfId="1" applyNumberFormat="1" applyFont="1" applyFill="1" applyBorder="1" applyAlignment="1">
      <alignment vertical="center"/>
    </xf>
    <xf numFmtId="167" fontId="3" fillId="6" borderId="2" xfId="1" applyNumberFormat="1" applyFont="1" applyFill="1" applyBorder="1" applyAlignment="1">
      <alignment vertical="center"/>
    </xf>
    <xf numFmtId="0" fontId="42" fillId="0" borderId="0" xfId="14" applyFont="1" applyFill="1" applyAlignment="1">
      <alignment vertical="center"/>
    </xf>
    <xf numFmtId="165" fontId="54" fillId="0" borderId="0" xfId="15" applyNumberFormat="1" applyFont="1" applyFill="1" applyAlignment="1">
      <alignment vertical="center"/>
    </xf>
    <xf numFmtId="0" fontId="38" fillId="0" borderId="0" xfId="14" applyFont="1" applyFill="1" applyAlignment="1">
      <alignment vertical="center"/>
    </xf>
    <xf numFmtId="173" fontId="0" fillId="0" borderId="7" xfId="15" applyNumberFormat="1" applyFont="1" applyFill="1" applyBorder="1" applyAlignment="1">
      <alignment vertical="center"/>
    </xf>
    <xf numFmtId="173" fontId="6" fillId="0" borderId="0" xfId="14" applyNumberFormat="1" applyFill="1" applyAlignment="1">
      <alignment vertical="center"/>
    </xf>
    <xf numFmtId="0" fontId="1" fillId="0" borderId="0" xfId="0" applyFont="1" applyFill="1" applyBorder="1" applyAlignment="1">
      <alignment horizontal="left" vertical="center"/>
    </xf>
    <xf numFmtId="0" fontId="29" fillId="0" borderId="18" xfId="0"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167" fontId="6" fillId="6" borderId="7" xfId="1" applyNumberFormat="1" applyFont="1" applyFill="1" applyBorder="1" applyAlignment="1">
      <alignment vertical="center"/>
    </xf>
    <xf numFmtId="0" fontId="29" fillId="0" borderId="0" xfId="0" applyFont="1" applyAlignment="1">
      <alignment horizontal="justify"/>
    </xf>
    <xf numFmtId="170" fontId="29" fillId="0" borderId="7" xfId="0" applyNumberFormat="1" applyFont="1" applyFill="1" applyBorder="1" applyAlignment="1">
      <alignment vertical="center"/>
    </xf>
    <xf numFmtId="170" fontId="29" fillId="0" borderId="0" xfId="0" applyNumberFormat="1" applyFont="1" applyFill="1" applyBorder="1" applyAlignment="1">
      <alignment vertical="center"/>
    </xf>
    <xf numFmtId="0" fontId="1" fillId="0" borderId="0" xfId="0" applyFont="1" applyFill="1" applyBorder="1" applyAlignment="1">
      <alignment horizontal="justify" vertical="center" wrapText="1"/>
    </xf>
    <xf numFmtId="167" fontId="6" fillId="6" borderId="9" xfId="1" applyNumberFormat="1" applyFont="1" applyFill="1" applyBorder="1" applyAlignment="1">
      <alignment vertical="center" wrapText="1"/>
    </xf>
    <xf numFmtId="167" fontId="6" fillId="6" borderId="16" xfId="1" applyNumberFormat="1" applyFont="1" applyFill="1" applyBorder="1" applyAlignment="1">
      <alignment horizontal="right" vertical="center" wrapText="1"/>
    </xf>
    <xf numFmtId="164" fontId="6" fillId="6" borderId="16" xfId="1" applyFont="1" applyFill="1" applyBorder="1" applyAlignment="1">
      <alignment horizontal="right" vertical="center" wrapText="1"/>
    </xf>
    <xf numFmtId="167" fontId="6" fillId="6" borderId="12" xfId="1" applyNumberFormat="1" applyFont="1" applyFill="1" applyBorder="1" applyAlignment="1">
      <alignment horizontal="right" vertical="center" wrapText="1"/>
    </xf>
    <xf numFmtId="167" fontId="6" fillId="6" borderId="1" xfId="1" applyNumberFormat="1" applyFont="1" applyFill="1" applyBorder="1" applyAlignment="1">
      <alignment horizontal="right" vertical="center" wrapText="1"/>
    </xf>
    <xf numFmtId="164" fontId="6" fillId="6" borderId="1" xfId="1" applyFont="1" applyFill="1" applyBorder="1" applyAlignment="1">
      <alignment horizontal="right" vertical="center" wrapText="1"/>
    </xf>
    <xf numFmtId="167" fontId="6" fillId="6" borderId="9" xfId="1" applyNumberFormat="1" applyFont="1" applyFill="1" applyBorder="1" applyAlignment="1">
      <alignment horizontal="right" vertical="center" wrapText="1"/>
    </xf>
    <xf numFmtId="0" fontId="16" fillId="7" borderId="2" xfId="0" quotePrefix="1" applyFont="1" applyFill="1" applyBorder="1" applyAlignment="1">
      <alignment horizontal="center" vertical="center"/>
    </xf>
    <xf numFmtId="0" fontId="16" fillId="7" borderId="2" xfId="0" applyFont="1" applyFill="1" applyBorder="1" applyAlignment="1">
      <alignment vertical="center"/>
    </xf>
    <xf numFmtId="164" fontId="16" fillId="7" borderId="2" xfId="1" applyFont="1" applyFill="1" applyBorder="1" applyAlignment="1">
      <alignment vertical="center"/>
    </xf>
    <xf numFmtId="164" fontId="15" fillId="7" borderId="2" xfId="1" applyFont="1" applyFill="1" applyBorder="1" applyAlignment="1">
      <alignment vertical="center"/>
    </xf>
    <xf numFmtId="0" fontId="16" fillId="7" borderId="2" xfId="0" applyFont="1" applyFill="1" applyBorder="1" applyAlignment="1">
      <alignment horizontal="center" vertical="center"/>
    </xf>
    <xf numFmtId="0" fontId="3" fillId="0" borderId="116" xfId="0" applyFont="1" applyFill="1" applyBorder="1" applyAlignment="1">
      <alignment horizontal="left" vertical="center" wrapText="1"/>
    </xf>
    <xf numFmtId="0" fontId="3" fillId="0" borderId="117" xfId="0" applyFont="1" applyFill="1" applyBorder="1" applyAlignment="1">
      <alignment horizontal="left" vertical="center" wrapText="1"/>
    </xf>
    <xf numFmtId="0" fontId="3" fillId="0" borderId="118" xfId="0" applyFont="1" applyFill="1" applyBorder="1" applyAlignment="1">
      <alignment horizontal="left" vertical="center" wrapText="1"/>
    </xf>
    <xf numFmtId="0" fontId="3" fillId="0" borderId="37" xfId="0" applyFont="1" applyFill="1" applyBorder="1" applyAlignment="1">
      <alignment horizontal="left" vertical="center" wrapText="1"/>
    </xf>
    <xf numFmtId="0" fontId="41" fillId="0" borderId="0" xfId="0" applyFont="1" applyFill="1" applyBorder="1" applyAlignment="1">
      <alignment horizontal="center" vertical="center" wrapText="1"/>
    </xf>
    <xf numFmtId="0" fontId="7" fillId="0" borderId="0" xfId="0" applyFont="1" applyFill="1" applyAlignment="1">
      <alignment horizontal="justify" vertical="center"/>
    </xf>
    <xf numFmtId="0" fontId="17" fillId="0" borderId="42" xfId="0" applyFont="1" applyFill="1" applyBorder="1" applyAlignment="1" applyProtection="1">
      <alignment horizontal="center"/>
    </xf>
    <xf numFmtId="0" fontId="17" fillId="0" borderId="0" xfId="0" applyFont="1" applyFill="1" applyBorder="1" applyAlignment="1" applyProtection="1">
      <alignment horizontal="center"/>
    </xf>
    <xf numFmtId="0" fontId="17" fillId="0" borderId="43" xfId="0" applyFont="1" applyFill="1" applyBorder="1" applyAlignment="1" applyProtection="1">
      <alignment horizontal="center"/>
    </xf>
    <xf numFmtId="0" fontId="29" fillId="0" borderId="44" xfId="0" applyFont="1" applyFill="1" applyBorder="1" applyAlignment="1">
      <alignment horizontal="center" vertical="center"/>
    </xf>
    <xf numFmtId="0" fontId="29" fillId="0" borderId="45" xfId="0" applyFont="1" applyFill="1" applyBorder="1" applyAlignment="1">
      <alignment horizontal="center" vertical="center"/>
    </xf>
    <xf numFmtId="0" fontId="29" fillId="0" borderId="2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19" xfId="0" applyFont="1" applyFill="1" applyBorder="1" applyAlignment="1">
      <alignment horizontal="center" vertical="center"/>
    </xf>
    <xf numFmtId="15" fontId="29" fillId="0" borderId="18" xfId="0" quotePrefix="1" applyNumberFormat="1" applyFont="1" applyFill="1" applyBorder="1" applyAlignment="1">
      <alignment horizontal="center" vertical="center"/>
    </xf>
    <xf numFmtId="15" fontId="29" fillId="0" borderId="0" xfId="0" quotePrefix="1" applyNumberFormat="1" applyFont="1" applyFill="1" applyBorder="1" applyAlignment="1">
      <alignment horizontal="center" vertical="center"/>
    </xf>
    <xf numFmtId="15" fontId="29" fillId="0" borderId="19" xfId="0" quotePrefix="1" applyNumberFormat="1" applyFont="1" applyFill="1" applyBorder="1" applyAlignment="1">
      <alignment horizontal="center" vertical="center"/>
    </xf>
    <xf numFmtId="166" fontId="29" fillId="0" borderId="44" xfId="0" applyNumberFormat="1" applyFont="1" applyFill="1" applyBorder="1" applyAlignment="1">
      <alignment horizontal="center" vertical="center"/>
    </xf>
    <xf numFmtId="166" fontId="29" fillId="0" borderId="45" xfId="0" applyNumberFormat="1" applyFont="1" applyFill="1" applyBorder="1" applyAlignment="1">
      <alignment horizontal="center" vertical="center"/>
    </xf>
    <xf numFmtId="166" fontId="29" fillId="0" borderId="27" xfId="0" applyNumberFormat="1" applyFont="1" applyFill="1" applyBorder="1" applyAlignment="1">
      <alignment horizontal="center" vertical="center"/>
    </xf>
    <xf numFmtId="166" fontId="29" fillId="0" borderId="18" xfId="0" applyNumberFormat="1" applyFont="1" applyFill="1" applyBorder="1" applyAlignment="1">
      <alignment horizontal="center" vertical="center"/>
    </xf>
    <xf numFmtId="166" fontId="29" fillId="0" borderId="0" xfId="0" applyNumberFormat="1" applyFont="1" applyFill="1" applyBorder="1" applyAlignment="1">
      <alignment horizontal="center" vertical="center"/>
    </xf>
    <xf numFmtId="166" fontId="29" fillId="0" borderId="19" xfId="0" applyNumberFormat="1" applyFont="1" applyFill="1" applyBorder="1" applyAlignment="1">
      <alignment horizontal="center" vertical="center"/>
    </xf>
    <xf numFmtId="166" fontId="29" fillId="0" borderId="18" xfId="0" quotePrefix="1" applyNumberFormat="1" applyFont="1" applyFill="1" applyBorder="1" applyAlignment="1">
      <alignment horizontal="center" vertical="center"/>
    </xf>
    <xf numFmtId="166" fontId="29" fillId="0" borderId="0" xfId="0" quotePrefix="1" applyNumberFormat="1" applyFont="1" applyFill="1" applyBorder="1" applyAlignment="1">
      <alignment horizontal="center" vertical="center"/>
    </xf>
    <xf numFmtId="166" fontId="29" fillId="0" borderId="19" xfId="0" quotePrefix="1" applyNumberFormat="1" applyFont="1" applyFill="1" applyBorder="1" applyAlignment="1">
      <alignment horizontal="center" vertical="center"/>
    </xf>
    <xf numFmtId="0" fontId="17" fillId="0" borderId="0" xfId="0" applyFont="1" applyFill="1" applyBorder="1" applyAlignment="1">
      <alignment horizontal="center"/>
    </xf>
    <xf numFmtId="15" fontId="17" fillId="0" borderId="0" xfId="0" quotePrefix="1" applyNumberFormat="1" applyFont="1" applyFill="1" applyBorder="1" applyAlignment="1">
      <alignment horizontal="center"/>
    </xf>
    <xf numFmtId="0" fontId="29" fillId="0" borderId="66" xfId="0" applyFont="1" applyFill="1" applyBorder="1" applyAlignment="1">
      <alignment horizontal="center"/>
    </xf>
    <xf numFmtId="0" fontId="29" fillId="0" borderId="67" xfId="0" applyFont="1" applyFill="1" applyBorder="1" applyAlignment="1">
      <alignment horizontal="center"/>
    </xf>
    <xf numFmtId="0" fontId="29" fillId="0" borderId="68" xfId="0" applyFont="1" applyFill="1" applyBorder="1" applyAlignment="1">
      <alignment horizontal="center"/>
    </xf>
    <xf numFmtId="0" fontId="29" fillId="0" borderId="69" xfId="0" applyFont="1" applyFill="1" applyBorder="1" applyAlignment="1">
      <alignment horizontal="center"/>
    </xf>
    <xf numFmtId="0" fontId="29" fillId="0" borderId="0" xfId="0" applyFont="1" applyFill="1" applyBorder="1" applyAlignment="1">
      <alignment horizontal="center"/>
    </xf>
    <xf numFmtId="0" fontId="29" fillId="0" borderId="70" xfId="0" applyFont="1" applyFill="1" applyBorder="1" applyAlignment="1">
      <alignment horizontal="center"/>
    </xf>
    <xf numFmtId="164" fontId="17" fillId="0" borderId="0" xfId="1" applyNumberFormat="1" applyFont="1" applyAlignment="1">
      <alignment horizontal="center" vertical="center"/>
    </xf>
    <xf numFmtId="164" fontId="17" fillId="0" borderId="0" xfId="1" quotePrefix="1" applyNumberFormat="1" applyFont="1" applyAlignment="1">
      <alignment horizontal="center" vertical="center"/>
    </xf>
    <xf numFmtId="0" fontId="6" fillId="0" borderId="0" xfId="0" applyFont="1" applyFill="1" applyBorder="1" applyAlignment="1">
      <alignment wrapText="1"/>
    </xf>
    <xf numFmtId="0" fontId="2" fillId="5" borderId="0" xfId="0" applyFont="1" applyFill="1" applyBorder="1" applyAlignment="1">
      <alignment wrapText="1"/>
    </xf>
    <xf numFmtId="167" fontId="17" fillId="0" borderId="0" xfId="1" applyNumberFormat="1" applyFont="1" applyFill="1" applyBorder="1" applyAlignment="1">
      <alignment horizontal="center" vertical="center"/>
    </xf>
    <xf numFmtId="167" fontId="17" fillId="0" borderId="0" xfId="1" quotePrefix="1" applyNumberFormat="1" applyFont="1" applyFill="1" applyBorder="1" applyAlignment="1">
      <alignment horizontal="center" vertical="center"/>
    </xf>
    <xf numFmtId="0" fontId="29" fillId="0" borderId="0" xfId="14" applyFont="1" applyFill="1" applyAlignment="1">
      <alignment horizontal="center" vertical="center"/>
    </xf>
    <xf numFmtId="0" fontId="29" fillId="0" borderId="0" xfId="0" quotePrefix="1" applyFont="1" applyFill="1" applyBorder="1" applyAlignment="1">
      <alignment horizontal="center" vertical="center"/>
    </xf>
    <xf numFmtId="0" fontId="6" fillId="0" borderId="0" xfId="14" applyFill="1" applyAlignment="1">
      <alignment vertical="center" wrapText="1"/>
    </xf>
    <xf numFmtId="0" fontId="15" fillId="0" borderId="0" xfId="14" applyFont="1" applyFill="1" applyBorder="1" applyAlignment="1">
      <alignment horizontal="center" vertical="center"/>
    </xf>
    <xf numFmtId="0" fontId="29" fillId="0" borderId="0" xfId="14" applyFont="1" applyFill="1" applyAlignment="1">
      <alignment vertical="center"/>
    </xf>
    <xf numFmtId="0" fontId="6" fillId="0" borderId="0" xfId="14" applyNumberFormat="1" applyFill="1" applyBorder="1" applyAlignment="1">
      <alignment vertical="center" wrapText="1"/>
    </xf>
    <xf numFmtId="0" fontId="6" fillId="0" borderId="0" xfId="14" applyFill="1" applyBorder="1" applyAlignment="1">
      <alignment vertical="center"/>
    </xf>
    <xf numFmtId="0" fontId="6" fillId="0" borderId="0" xfId="14" applyFill="1" applyBorder="1" applyAlignment="1">
      <alignment vertical="center" wrapText="1"/>
    </xf>
    <xf numFmtId="3" fontId="29" fillId="0" borderId="0" xfId="14" applyNumberFormat="1" applyFont="1" applyFill="1" applyBorder="1" applyAlignment="1">
      <alignment vertical="center"/>
    </xf>
    <xf numFmtId="0" fontId="6" fillId="0" borderId="0" xfId="0" applyFont="1" applyFill="1" applyBorder="1" applyAlignment="1">
      <alignment horizontal="left" vertical="center" wrapText="1"/>
    </xf>
    <xf numFmtId="0" fontId="6" fillId="0" borderId="0" xfId="14" applyFont="1" applyFill="1" applyAlignment="1">
      <alignment vertical="center"/>
    </xf>
    <xf numFmtId="0" fontId="17" fillId="0" borderId="44" xfId="0" applyFont="1" applyFill="1" applyBorder="1" applyAlignment="1">
      <alignment horizontal="center" vertical="center"/>
    </xf>
    <xf numFmtId="0" fontId="17" fillId="0" borderId="45" xfId="0" applyFont="1" applyFill="1" applyBorder="1" applyAlignment="1">
      <alignment horizontal="center" vertical="center"/>
    </xf>
    <xf numFmtId="0" fontId="17" fillId="0" borderId="18" xfId="0" quotePrefix="1" applyFont="1" applyFill="1" applyBorder="1" applyAlignment="1">
      <alignment horizontal="center" vertical="center"/>
    </xf>
    <xf numFmtId="0" fontId="17" fillId="0" borderId="0" xfId="0" quotePrefix="1" applyFont="1" applyFill="1" applyBorder="1" applyAlignment="1">
      <alignment horizontal="center" vertical="center"/>
    </xf>
    <xf numFmtId="0" fontId="29" fillId="0" borderId="18" xfId="0" quotePrefix="1" applyFont="1" applyFill="1" applyBorder="1" applyAlignment="1">
      <alignment horizontal="center" vertical="center"/>
    </xf>
    <xf numFmtId="0" fontId="4" fillId="0" borderId="0" xfId="0" applyNumberFormat="1" applyFont="1" applyFill="1" applyBorder="1" applyAlignment="1">
      <alignment horizontal="left" wrapText="1"/>
    </xf>
    <xf numFmtId="0" fontId="7" fillId="0" borderId="0" xfId="0" applyFont="1" applyFill="1" applyBorder="1" applyAlignment="1">
      <alignment horizontal="left"/>
    </xf>
    <xf numFmtId="167" fontId="29" fillId="0" borderId="44" xfId="1" applyNumberFormat="1" applyFont="1" applyFill="1" applyBorder="1" applyAlignment="1">
      <alignment horizontal="center" vertical="center"/>
    </xf>
    <xf numFmtId="167" fontId="29" fillId="0" borderId="45" xfId="1" applyNumberFormat="1" applyFont="1" applyFill="1" applyBorder="1" applyAlignment="1">
      <alignment horizontal="center" vertical="center"/>
    </xf>
    <xf numFmtId="167" fontId="29" fillId="0" borderId="27" xfId="1" applyNumberFormat="1" applyFont="1" applyFill="1" applyBorder="1" applyAlignment="1">
      <alignment horizontal="center" vertical="center"/>
    </xf>
    <xf numFmtId="167" fontId="29" fillId="0" borderId="18" xfId="1" quotePrefix="1" applyNumberFormat="1" applyFont="1" applyFill="1" applyBorder="1" applyAlignment="1">
      <alignment horizontal="center" vertical="center"/>
    </xf>
    <xf numFmtId="167" fontId="29" fillId="0" borderId="0" xfId="1" quotePrefix="1" applyNumberFormat="1" applyFont="1" applyFill="1" applyBorder="1" applyAlignment="1">
      <alignment horizontal="center" vertical="center"/>
    </xf>
    <xf numFmtId="167" fontId="29" fillId="0" borderId="19" xfId="1" quotePrefix="1" applyNumberFormat="1" applyFont="1" applyFill="1" applyBorder="1" applyAlignment="1">
      <alignment horizontal="center" vertical="center"/>
    </xf>
    <xf numFmtId="0" fontId="29" fillId="0" borderId="18" xfId="0" applyFont="1" applyFill="1" applyBorder="1" applyAlignment="1">
      <alignment horizontal="center"/>
    </xf>
    <xf numFmtId="0" fontId="29" fillId="0" borderId="19" xfId="0" applyFont="1" applyFill="1" applyBorder="1" applyAlignment="1">
      <alignment horizontal="center"/>
    </xf>
    <xf numFmtId="0" fontId="29" fillId="0" borderId="18" xfId="0" quotePrefix="1" applyFont="1" applyFill="1" applyBorder="1" applyAlignment="1">
      <alignment horizontal="center"/>
    </xf>
    <xf numFmtId="0" fontId="29" fillId="0" borderId="0" xfId="0" quotePrefix="1" applyFont="1" applyFill="1" applyBorder="1" applyAlignment="1">
      <alignment horizontal="center"/>
    </xf>
    <xf numFmtId="0" fontId="29" fillId="0" borderId="19" xfId="0" quotePrefix="1" applyFont="1" applyFill="1" applyBorder="1" applyAlignment="1">
      <alignment horizontal="center"/>
    </xf>
    <xf numFmtId="0" fontId="29" fillId="0" borderId="44" xfId="0" applyFont="1" applyFill="1" applyBorder="1" applyAlignment="1">
      <alignment horizontal="center"/>
    </xf>
    <xf numFmtId="0" fontId="29" fillId="0" borderId="45" xfId="0" applyFont="1" applyFill="1" applyBorder="1" applyAlignment="1">
      <alignment horizontal="center"/>
    </xf>
    <xf numFmtId="0" fontId="29" fillId="0" borderId="27" xfId="0" applyFont="1" applyFill="1" applyBorder="1" applyAlignment="1">
      <alignment horizontal="center"/>
    </xf>
    <xf numFmtId="0" fontId="33" fillId="0" borderId="13" xfId="0" applyFont="1" applyFill="1" applyBorder="1" applyAlignment="1">
      <alignment vertical="center" wrapText="1"/>
    </xf>
    <xf numFmtId="0" fontId="33" fillId="0" borderId="0" xfId="0" applyFont="1" applyFill="1" applyBorder="1" applyAlignment="1">
      <alignment vertical="center" wrapText="1"/>
    </xf>
    <xf numFmtId="0" fontId="29" fillId="0" borderId="0" xfId="0" applyFont="1" applyFill="1" applyBorder="1" applyAlignment="1">
      <alignment horizontal="center" vertical="center" wrapText="1"/>
    </xf>
    <xf numFmtId="0" fontId="17" fillId="0" borderId="66" xfId="0" applyFont="1" applyFill="1" applyBorder="1" applyAlignment="1">
      <alignment horizontal="center" vertical="center"/>
    </xf>
    <xf numFmtId="0" fontId="17" fillId="0" borderId="67" xfId="0" applyFont="1" applyFill="1" applyBorder="1" applyAlignment="1">
      <alignment horizontal="center" vertical="center"/>
    </xf>
    <xf numFmtId="0" fontId="17" fillId="0" borderId="68" xfId="0" applyFont="1" applyFill="1" applyBorder="1" applyAlignment="1">
      <alignment horizontal="center" vertical="center"/>
    </xf>
    <xf numFmtId="0" fontId="17" fillId="0" borderId="69" xfId="0" quotePrefix="1" applyFont="1" applyFill="1" applyBorder="1" applyAlignment="1">
      <alignment horizontal="center" vertical="center"/>
    </xf>
    <xf numFmtId="0" fontId="17" fillId="0" borderId="70" xfId="0" quotePrefix="1" applyFont="1" applyFill="1" applyBorder="1" applyAlignment="1">
      <alignment horizontal="center" vertical="center"/>
    </xf>
    <xf numFmtId="0" fontId="29" fillId="0" borderId="66" xfId="0" applyFont="1" applyFill="1" applyBorder="1" applyAlignment="1">
      <alignment horizontal="center" vertical="center"/>
    </xf>
    <xf numFmtId="0" fontId="29" fillId="0" borderId="67" xfId="0" applyFont="1" applyFill="1" applyBorder="1" applyAlignment="1">
      <alignment horizontal="center" vertical="center"/>
    </xf>
    <xf numFmtId="0" fontId="29" fillId="0" borderId="69" xfId="0" quotePrefix="1"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Alignment="1">
      <alignment horizontal="left" wrapText="1"/>
    </xf>
    <xf numFmtId="0" fontId="34" fillId="0" borderId="0" xfId="0" applyFont="1" applyFill="1" applyBorder="1" applyAlignment="1">
      <alignment wrapText="1"/>
    </xf>
    <xf numFmtId="0" fontId="35"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29" fillId="0" borderId="26" xfId="0" applyFont="1" applyFill="1" applyBorder="1" applyAlignment="1">
      <alignment horizontal="center" vertical="top" wrapText="1"/>
    </xf>
    <xf numFmtId="0" fontId="6" fillId="0" borderId="0" xfId="0" applyFont="1" applyFill="1" applyBorder="1" applyAlignment="1">
      <alignment vertical="top" wrapText="1"/>
    </xf>
    <xf numFmtId="0" fontId="6" fillId="0" borderId="0" xfId="0" applyFont="1" applyFill="1" applyBorder="1" applyAlignment="1">
      <alignment horizontal="right" vertical="top"/>
    </xf>
    <xf numFmtId="0" fontId="6" fillId="0" borderId="18" xfId="0" applyFont="1" applyFill="1" applyBorder="1" applyAlignment="1">
      <alignment vertical="top"/>
    </xf>
    <xf numFmtId="0" fontId="6" fillId="0" borderId="0" xfId="0" applyFont="1" applyFill="1" applyBorder="1" applyAlignment="1">
      <alignment vertical="top"/>
    </xf>
    <xf numFmtId="0" fontId="29" fillId="0" borderId="18" xfId="0" applyFont="1" applyFill="1" applyBorder="1" applyAlignment="1">
      <alignment horizontal="justify" vertical="top"/>
    </xf>
    <xf numFmtId="0" fontId="29" fillId="0" borderId="0" xfId="0" applyFont="1" applyFill="1" applyBorder="1" applyAlignment="1">
      <alignment horizontal="justify" vertical="top"/>
    </xf>
    <xf numFmtId="164" fontId="29" fillId="0" borderId="5" xfId="1" applyFont="1" applyFill="1" applyBorder="1" applyAlignment="1">
      <alignment horizontal="right" vertical="center" wrapText="1"/>
    </xf>
    <xf numFmtId="0" fontId="29" fillId="0" borderId="0" xfId="0" applyFont="1" applyFill="1" applyAlignment="1">
      <alignment horizontal="center" vertical="center"/>
    </xf>
    <xf numFmtId="167" fontId="29" fillId="0" borderId="38" xfId="1" applyNumberFormat="1" applyFont="1" applyFill="1" applyBorder="1" applyAlignment="1">
      <alignment horizontal="center" vertical="center" wrapText="1"/>
    </xf>
    <xf numFmtId="167" fontId="29" fillId="0" borderId="10" xfId="1" applyNumberFormat="1" applyFont="1" applyFill="1" applyBorder="1" applyAlignment="1">
      <alignment horizontal="center" vertical="center" wrapText="1"/>
    </xf>
    <xf numFmtId="167" fontId="29" fillId="0" borderId="11" xfId="1" applyNumberFormat="1" applyFont="1" applyFill="1" applyBorder="1" applyAlignment="1">
      <alignment horizontal="center" vertical="center" wrapText="1"/>
    </xf>
    <xf numFmtId="164" fontId="29" fillId="0" borderId="38" xfId="1" applyFont="1" applyFill="1" applyBorder="1" applyAlignment="1">
      <alignment horizontal="center" vertical="center" wrapText="1"/>
    </xf>
    <xf numFmtId="164" fontId="29" fillId="0" borderId="10" xfId="1" applyFont="1" applyFill="1" applyBorder="1" applyAlignment="1">
      <alignment horizontal="center" vertical="center" wrapText="1"/>
    </xf>
    <xf numFmtId="164" fontId="29" fillId="0" borderId="11" xfId="1" applyFont="1" applyFill="1" applyBorder="1" applyAlignment="1">
      <alignment horizontal="center" vertical="center" wrapText="1"/>
    </xf>
    <xf numFmtId="167" fontId="17" fillId="0" borderId="5" xfId="1" applyNumberFormat="1" applyFont="1" applyFill="1" applyBorder="1" applyAlignment="1">
      <alignment horizontal="right" vertical="center" wrapText="1"/>
    </xf>
    <xf numFmtId="0" fontId="17" fillId="0" borderId="0" xfId="0" applyFont="1" applyFill="1" applyAlignment="1">
      <alignment horizontal="center" vertical="center"/>
    </xf>
    <xf numFmtId="167" fontId="17" fillId="0" borderId="38" xfId="1" applyNumberFormat="1" applyFont="1" applyFill="1" applyBorder="1" applyAlignment="1">
      <alignment horizontal="center" vertical="center" wrapText="1"/>
    </xf>
    <xf numFmtId="167" fontId="17" fillId="0" borderId="10" xfId="1" applyNumberFormat="1" applyFont="1" applyFill="1" applyBorder="1" applyAlignment="1">
      <alignment horizontal="center" vertical="center" wrapText="1"/>
    </xf>
    <xf numFmtId="167" fontId="17" fillId="0" borderId="11" xfId="1" applyNumberFormat="1"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167" fontId="17" fillId="0" borderId="13" xfId="1" applyNumberFormat="1"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167" fontId="29" fillId="0" borderId="45" xfId="1" applyNumberFormat="1" applyFont="1" applyFill="1" applyBorder="1" applyAlignment="1">
      <alignment horizontal="center" vertical="top" wrapText="1"/>
    </xf>
    <xf numFmtId="167" fontId="29" fillId="0" borderId="0" xfId="1" applyNumberFormat="1" applyFont="1" applyFill="1" applyBorder="1" applyAlignment="1">
      <alignment horizontal="center" vertical="top" wrapText="1"/>
    </xf>
    <xf numFmtId="0" fontId="29" fillId="0" borderId="99" xfId="0" applyFont="1" applyFill="1" applyBorder="1" applyAlignment="1">
      <alignment horizontal="center" vertical="top" wrapText="1"/>
    </xf>
    <xf numFmtId="0" fontId="29" fillId="0" borderId="4" xfId="0" applyFont="1" applyFill="1" applyBorder="1" applyAlignment="1">
      <alignment horizontal="center" vertical="top" wrapText="1"/>
    </xf>
    <xf numFmtId="0" fontId="29" fillId="0" borderId="45" xfId="0" applyFont="1" applyFill="1" applyBorder="1" applyAlignment="1">
      <alignment horizontal="center" vertical="top" wrapText="1"/>
    </xf>
    <xf numFmtId="0" fontId="29" fillId="0" borderId="0" xfId="0" applyFont="1" applyFill="1" applyBorder="1" applyAlignment="1">
      <alignment horizontal="center" vertical="top" wrapText="1"/>
    </xf>
    <xf numFmtId="0" fontId="29" fillId="0" borderId="100" xfId="0" applyFont="1" applyFill="1" applyBorder="1" applyAlignment="1">
      <alignment horizontal="center" vertical="top" wrapText="1"/>
    </xf>
    <xf numFmtId="0" fontId="29" fillId="0" borderId="1" xfId="0" applyFont="1" applyFill="1" applyBorder="1" applyAlignment="1">
      <alignment horizontal="center" vertical="top" wrapText="1"/>
    </xf>
    <xf numFmtId="0" fontId="29" fillId="0" borderId="18" xfId="0" applyFont="1" applyFill="1" applyBorder="1" applyAlignment="1">
      <alignment vertical="top" wrapText="1"/>
    </xf>
    <xf numFmtId="0" fontId="29" fillId="0" borderId="44" xfId="0" applyFont="1" applyFill="1" applyBorder="1" applyAlignment="1">
      <alignment vertical="top" wrapText="1"/>
    </xf>
    <xf numFmtId="0" fontId="29" fillId="0" borderId="106" xfId="0" applyFont="1" applyFill="1" applyBorder="1" applyAlignment="1">
      <alignment horizontal="center" vertical="center" wrapText="1"/>
    </xf>
    <xf numFmtId="0" fontId="29" fillId="0" borderId="105"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103" xfId="0" applyFont="1" applyFill="1" applyBorder="1" applyAlignment="1">
      <alignment horizontal="center" vertical="center" wrapText="1"/>
    </xf>
    <xf numFmtId="0" fontId="29" fillId="0" borderId="102" xfId="0" applyFont="1" applyFill="1" applyBorder="1" applyAlignment="1">
      <alignment horizontal="center" vertical="center" wrapText="1"/>
    </xf>
    <xf numFmtId="0" fontId="6" fillId="0" borderId="18" xfId="0" applyFont="1" applyFill="1" applyBorder="1" applyAlignment="1">
      <alignment vertical="center" wrapText="1"/>
    </xf>
    <xf numFmtId="0" fontId="17" fillId="0" borderId="18"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3" fillId="0" borderId="18" xfId="0" applyFont="1" applyFill="1" applyBorder="1" applyAlignment="1">
      <alignment vertical="center" wrapText="1"/>
    </xf>
    <xf numFmtId="0" fontId="3" fillId="0" borderId="0" xfId="0" applyFont="1" applyFill="1" applyBorder="1" applyAlignment="1">
      <alignment vertical="center" wrapText="1"/>
    </xf>
    <xf numFmtId="0" fontId="17" fillId="0" borderId="106" xfId="0" applyFont="1" applyFill="1" applyBorder="1" applyAlignment="1">
      <alignment horizontal="center" vertical="center" wrapText="1"/>
    </xf>
    <xf numFmtId="0" fontId="17" fillId="0" borderId="105" xfId="0" applyFont="1" applyFill="1" applyBorder="1" applyAlignment="1">
      <alignment horizontal="center" vertical="center" wrapText="1"/>
    </xf>
    <xf numFmtId="0" fontId="17" fillId="0" borderId="44" xfId="0" applyFont="1" applyFill="1" applyBorder="1" applyAlignment="1">
      <alignment horizontal="center" vertical="center" wrapText="1"/>
    </xf>
    <xf numFmtId="0" fontId="17" fillId="0" borderId="45"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103" xfId="0" applyFont="1" applyFill="1" applyBorder="1" applyAlignment="1">
      <alignment horizontal="center" vertical="center" wrapText="1"/>
    </xf>
    <xf numFmtId="0" fontId="17" fillId="0" borderId="102"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16"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0" xfId="6" applyFont="1" applyFill="1" applyAlignment="1">
      <alignment horizontal="center" vertical="center"/>
    </xf>
    <xf numFmtId="0" fontId="7" fillId="0" borderId="0" xfId="0" applyFont="1" applyFill="1" applyAlignment="1">
      <alignment horizontal="center" vertical="center"/>
    </xf>
    <xf numFmtId="0" fontId="17" fillId="0" borderId="2" xfId="0" applyFont="1" applyFill="1" applyBorder="1" applyAlignment="1">
      <alignment horizontal="center" vertical="center" wrapText="1"/>
    </xf>
    <xf numFmtId="0" fontId="17" fillId="0" borderId="9" xfId="0" applyFont="1" applyFill="1" applyBorder="1" applyAlignment="1">
      <alignment horizontal="center"/>
    </xf>
    <xf numFmtId="0" fontId="7" fillId="0" borderId="0" xfId="0" applyFont="1" applyAlignment="1">
      <alignment horizontal="center"/>
    </xf>
    <xf numFmtId="0" fontId="6" fillId="0" borderId="5" xfId="0" applyFont="1" applyFill="1" applyBorder="1" applyAlignment="1">
      <alignment horizontal="center" vertical="center" wrapText="1"/>
    </xf>
    <xf numFmtId="0" fontId="15" fillId="0" borderId="0" xfId="0" applyFont="1" applyFill="1" applyAlignment="1">
      <alignment horizontal="center" vertical="center" wrapText="1"/>
    </xf>
    <xf numFmtId="0" fontId="30" fillId="0" borderId="0" xfId="0" applyFont="1" applyFill="1" applyAlignment="1">
      <alignment horizontal="center" vertical="center"/>
    </xf>
    <xf numFmtId="0" fontId="48" fillId="0" borderId="0" xfId="0" applyFont="1" applyFill="1" applyBorder="1" applyAlignment="1">
      <alignment horizontal="center" vertical="center"/>
    </xf>
    <xf numFmtId="3" fontId="42" fillId="0" borderId="0" xfId="0" applyNumberFormat="1" applyFont="1" applyFill="1" applyBorder="1" applyAlignment="1"/>
    <xf numFmtId="0" fontId="38" fillId="0" borderId="0" xfId="0" applyFont="1" applyFill="1" applyBorder="1" applyAlignment="1"/>
    <xf numFmtId="0" fontId="42" fillId="0" borderId="0" xfId="0" applyFont="1" applyFill="1" applyBorder="1" applyAlignment="1"/>
    <xf numFmtId="0" fontId="38" fillId="0" borderId="0" xfId="0" applyNumberFormat="1" applyFont="1" applyFill="1" applyBorder="1" applyAlignment="1">
      <alignment wrapText="1"/>
    </xf>
    <xf numFmtId="0" fontId="38" fillId="0" borderId="0" xfId="0" applyFont="1" applyFill="1" applyBorder="1" applyAlignment="1">
      <alignment wrapText="1"/>
    </xf>
    <xf numFmtId="0" fontId="29" fillId="0" borderId="19" xfId="0" quotePrefix="1" applyFont="1" applyFill="1" applyBorder="1" applyAlignment="1">
      <alignment horizontal="center" vertical="center"/>
    </xf>
    <xf numFmtId="0" fontId="17" fillId="0" borderId="66" xfId="3" applyFont="1" applyFill="1" applyBorder="1" applyAlignment="1">
      <alignment horizontal="center" vertical="center"/>
    </xf>
    <xf numFmtId="0" fontId="17" fillId="0" borderId="67" xfId="3" applyFont="1" applyFill="1" applyBorder="1" applyAlignment="1">
      <alignment horizontal="center" vertical="center"/>
    </xf>
    <xf numFmtId="0" fontId="17" fillId="0" borderId="69" xfId="3" quotePrefix="1" applyFont="1" applyFill="1" applyBorder="1" applyAlignment="1">
      <alignment horizontal="center" vertical="center"/>
    </xf>
    <xf numFmtId="0" fontId="17" fillId="0" borderId="0" xfId="3" quotePrefix="1" applyFont="1" applyFill="1" applyBorder="1" applyAlignment="1">
      <alignment horizontal="center" vertical="center"/>
    </xf>
    <xf numFmtId="0" fontId="7" fillId="2" borderId="0" xfId="0" applyFont="1" applyFill="1" applyBorder="1" applyAlignment="1">
      <alignment horizontal="left" vertical="center" wrapText="1"/>
    </xf>
    <xf numFmtId="0" fontId="17" fillId="2" borderId="0" xfId="0" applyFont="1" applyFill="1" applyBorder="1" applyAlignment="1">
      <alignment horizontal="left" vertical="center" wrapText="1"/>
    </xf>
  </cellXfs>
  <cellStyles count="17">
    <cellStyle name="Comma" xfId="1" builtinId="3"/>
    <cellStyle name="Comma 2" xfId="10"/>
    <cellStyle name="Comma 3" xfId="15"/>
    <cellStyle name="Comma_Adjustments to acc. surplus" xfId="8"/>
    <cellStyle name="Euro" xfId="12"/>
    <cellStyle name="Hyperlink" xfId="13" builtinId="8"/>
    <cellStyle name="Hyperlink 2" xfId="16"/>
    <cellStyle name="Normal" xfId="0" builtinId="0"/>
    <cellStyle name="Normal 2" xfId="14"/>
    <cellStyle name="Normal 3" xfId="2"/>
    <cellStyle name="Normal 4" xfId="9"/>
    <cellStyle name="Normal 5" xfId="11"/>
    <cellStyle name="Normal_Adjustments to acc. surplus" xfId="7"/>
    <cellStyle name="Normal_CHANGE IN ACCOUNTING POLICY" xfId="3"/>
    <cellStyle name="Normal_CHANGE IN ACCOUNTING POLICY 5" xfId="4"/>
    <cellStyle name="Normal_SHEET" xfId="6"/>
    <cellStyle name="Percent" xfId="5" builtinId="5"/>
  </cellStyles>
  <dxfs count="4">
    <dxf>
      <font>
        <b/>
        <i val="0"/>
        <condense val="0"/>
        <extend val="0"/>
        <color indexed="10"/>
      </font>
      <fill>
        <patternFill>
          <bgColor indexed="13"/>
        </patternFill>
      </fill>
    </dxf>
    <dxf>
      <font>
        <b/>
        <i val="0"/>
        <condense val="0"/>
        <extend val="0"/>
        <color indexed="10"/>
      </font>
      <fill>
        <patternFill>
          <bgColor indexed="13"/>
        </patternFill>
      </fill>
    </dxf>
    <dxf>
      <font>
        <b/>
        <i val="0"/>
        <condense val="0"/>
        <extend val="0"/>
        <color indexed="10"/>
      </font>
      <fill>
        <patternFill>
          <bgColor indexed="13"/>
        </patternFill>
      </fill>
    </dxf>
    <dxf>
      <font>
        <b/>
        <i val="0"/>
        <condense val="0"/>
        <extend val="0"/>
        <color indexed="10"/>
      </font>
      <fill>
        <patternFill>
          <bgColor indexed="13"/>
        </patternFill>
      </fill>
    </dxf>
  </dxfs>
  <tableStyles count="0" defaultTableStyle="TableStyleMedium9" defaultPivotStyle="PivotStyleLight16"/>
  <colors>
    <mruColors>
      <color rgb="FFFF99CC"/>
      <color rgb="FF66FF66"/>
      <color rgb="FFCCCCFF"/>
      <color rgb="FFFF33CC"/>
      <color rgb="FFFFFF99"/>
      <color rgb="FF66FF99"/>
      <color rgb="FFFF9933"/>
      <color rgb="FFCCFFCC"/>
      <color rgb="FF6666FF"/>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onnections" Target="connections.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1323975</xdr:colOff>
      <xdr:row>10</xdr:row>
      <xdr:rowOff>139705</xdr:rowOff>
    </xdr:from>
    <xdr:to>
      <xdr:col>2</xdr:col>
      <xdr:colOff>3591975</xdr:colOff>
      <xdr:row>25</xdr:row>
      <xdr:rowOff>77451</xdr:rowOff>
    </xdr:to>
    <xdr:pic>
      <xdr:nvPicPr>
        <xdr:cNvPr id="47105" name="Picture 1"/>
        <xdr:cNvPicPr>
          <a:picLocks noChangeAspect="1" noChangeArrowheads="1"/>
        </xdr:cNvPicPr>
      </xdr:nvPicPr>
      <xdr:blipFill>
        <a:blip xmlns:r="http://schemas.openxmlformats.org/officeDocument/2006/relationships" r:embed="rId1"/>
        <a:srcRect/>
        <a:stretch>
          <a:fillRect/>
        </a:stretch>
      </xdr:blipFill>
      <xdr:spPr bwMode="auto">
        <a:xfrm>
          <a:off x="2228850" y="2663830"/>
          <a:ext cx="2268000" cy="2795246"/>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Users\MichaelH\AppData\Local\Temp\Temp1_Final%20June%202011%20AFS_template.zip\Final%20June%202011-%20AFS%20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FS%20MLM%201011%2028%20Aug%20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Fanie/AppData/Local/Microsoft/Windows/Temporary%20Internet%20Files/Content.Outlook/9U4I7ATK/Copy%20of%20Final%20June%202011-%20AFS%20Template.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out this template"/>
      <sheetName val="MAPPING"/>
      <sheetName val="SCOA"/>
      <sheetName val="Cover"/>
      <sheetName val="Gen Info Pg 1"/>
      <sheetName val="Gen Info Pg 2"/>
      <sheetName val="Approval"/>
      <sheetName val="Index"/>
      <sheetName val="Stat of Financial Position"/>
      <sheetName val="Stat of Financial Performance"/>
      <sheetName val="Stat of Changes in Net Assets"/>
      <sheetName val="Cash flow statement"/>
      <sheetName val="Cash Flow Statem"/>
      <sheetName val="Accounting Policies"/>
      <sheetName val="Notes1-10"/>
      <sheetName val="Notes11"/>
      <sheetName val="Notes12-13"/>
      <sheetName val="Notes14"/>
      <sheetName val="Notes15-61"/>
      <sheetName val="App A"/>
      <sheetName val="App B"/>
      <sheetName val="App C"/>
      <sheetName val="App D"/>
      <sheetName val="App E"/>
      <sheetName val="SOURCE"/>
    </sheetNames>
    <sheetDataSet>
      <sheetData sheetId="0" refreshError="1"/>
      <sheetData sheetId="1" refreshError="1"/>
      <sheetData sheetId="2" refreshError="1"/>
      <sheetData sheetId="3" refreshError="1">
        <row r="10">
          <cell r="E10" t="str">
            <v>Free State</v>
          </cell>
        </row>
        <row r="12">
          <cell r="E12" t="str">
            <v>R  (i.e. only cents)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0">
          <cell r="H10">
            <v>0</v>
          </cell>
          <cell r="I10">
            <v>0</v>
          </cell>
          <cell r="J10">
            <v>0</v>
          </cell>
          <cell r="K10">
            <v>0</v>
          </cell>
          <cell r="L10">
            <v>0</v>
          </cell>
          <cell r="M10">
            <v>0</v>
          </cell>
          <cell r="N10">
            <v>0</v>
          </cell>
        </row>
        <row r="16">
          <cell r="E16">
            <v>0</v>
          </cell>
          <cell r="F16">
            <v>0</v>
          </cell>
          <cell r="J16">
            <v>0</v>
          </cell>
          <cell r="K16">
            <v>0</v>
          </cell>
          <cell r="M16">
            <v>0</v>
          </cell>
          <cell r="N16">
            <v>0</v>
          </cell>
        </row>
        <row r="29">
          <cell r="J29">
            <v>0</v>
          </cell>
          <cell r="K29">
            <v>0</v>
          </cell>
          <cell r="M29">
            <v>0</v>
          </cell>
          <cell r="N29">
            <v>0</v>
          </cell>
        </row>
        <row r="41">
          <cell r="I41">
            <v>0</v>
          </cell>
          <cell r="J41">
            <v>0</v>
          </cell>
          <cell r="K41">
            <v>0</v>
          </cell>
          <cell r="M41">
            <v>0</v>
          </cell>
          <cell r="N41">
            <v>0</v>
          </cell>
        </row>
        <row r="69">
          <cell r="F69">
            <v>0</v>
          </cell>
          <cell r="K69">
            <v>0</v>
          </cell>
          <cell r="N69">
            <v>0</v>
          </cell>
        </row>
        <row r="73">
          <cell r="D73">
            <v>0</v>
          </cell>
          <cell r="F73">
            <v>0</v>
          </cell>
          <cell r="K73">
            <v>0</v>
          </cell>
          <cell r="M73">
            <v>0</v>
          </cell>
          <cell r="N73">
            <v>0</v>
          </cell>
        </row>
        <row r="89">
          <cell r="F89">
            <v>0</v>
          </cell>
          <cell r="H89">
            <v>0</v>
          </cell>
          <cell r="I89">
            <v>0</v>
          </cell>
          <cell r="J89">
            <v>0</v>
          </cell>
          <cell r="K89">
            <v>0</v>
          </cell>
          <cell r="M89">
            <v>0</v>
          </cell>
          <cell r="N89">
            <v>0</v>
          </cell>
        </row>
        <row r="91">
          <cell r="E91">
            <v>0</v>
          </cell>
          <cell r="F91">
            <v>0</v>
          </cell>
          <cell r="J91">
            <v>0</v>
          </cell>
          <cell r="K91">
            <v>0</v>
          </cell>
          <cell r="M91">
            <v>0</v>
          </cell>
        </row>
        <row r="104">
          <cell r="E104">
            <v>0</v>
          </cell>
          <cell r="F104">
            <v>0</v>
          </cell>
          <cell r="J104">
            <v>0</v>
          </cell>
          <cell r="K104">
            <v>0</v>
          </cell>
          <cell r="M104">
            <v>0</v>
          </cell>
        </row>
        <row r="116">
          <cell r="E116">
            <v>0</v>
          </cell>
          <cell r="F116">
            <v>0</v>
          </cell>
          <cell r="J116">
            <v>0</v>
          </cell>
          <cell r="K116">
            <v>0</v>
          </cell>
          <cell r="M116">
            <v>0</v>
          </cell>
        </row>
        <row r="144">
          <cell r="F144">
            <v>0</v>
          </cell>
          <cell r="K144">
            <v>0</v>
          </cell>
          <cell r="M144">
            <v>0</v>
          </cell>
        </row>
        <row r="148">
          <cell r="E148">
            <v>0</v>
          </cell>
          <cell r="F148">
            <v>0</v>
          </cell>
          <cell r="J148">
            <v>0</v>
          </cell>
          <cell r="K148">
            <v>0</v>
          </cell>
          <cell r="M148">
            <v>0</v>
          </cell>
        </row>
      </sheetData>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VER"/>
      <sheetName val=" INDEX"/>
      <sheetName val="APP"/>
      <sheetName val="General Information"/>
      <sheetName val="Statement of Financial Position"/>
      <sheetName val="Statement of Financial Performa"/>
      <sheetName val="Changes in Net assets"/>
      <sheetName val="Cash Flow Statement"/>
      <sheetName val="Note 1 Accounting Policy"/>
      <sheetName val="Notes 2 - 9"/>
      <sheetName val="Notes10 - to use"/>
      <sheetName val="Note 10 - do not use"/>
      <sheetName val="Nota 10.1-10.5"/>
      <sheetName val="Nota 10a &amp; 10b - Not necessary"/>
      <sheetName val="Note 10c"/>
      <sheetName val="Note 11-14"/>
      <sheetName val="Note 15"/>
      <sheetName val="Note 15A&amp;15B"/>
      <sheetName val="Note 16-17"/>
      <sheetName val="Notes 18-41.7"/>
      <sheetName val="Note 41(Cont)-42"/>
      <sheetName val="Note 43 - Exclude"/>
      <sheetName val="Note 44-50 ammended"/>
      <sheetName val="Notes15-61 - please include"/>
      <sheetName val="Appendix A"/>
      <sheetName val="Appendix B"/>
      <sheetName val="App B(1)"/>
      <sheetName val="App B (2)"/>
      <sheetName val="Appendix C"/>
      <sheetName val="App C (1)"/>
      <sheetName val="App C (2)"/>
      <sheetName val="Appendix D"/>
      <sheetName val="Appendix E(1)"/>
      <sheetName val="Appendix E(1)a"/>
      <sheetName val="Appendix E(2)"/>
      <sheetName val="Appendix F"/>
      <sheetName val="Appendix G"/>
      <sheetName val="CAPITAL"/>
      <sheetName val="main TB"/>
      <sheetName val="TRAIL BALANCE"/>
      <sheetName val="EMPLOYEE COST 1011"/>
      <sheetName val="GENERAL EXP NOTA 35"/>
      <sheetName val="WORK PAPER INCOME"/>
      <sheetName val="WORK PAPER STATE COMPARITIVE"/>
      <sheetName val="Nota 10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
          <cell r="K8">
            <v>0</v>
          </cell>
        </row>
        <row r="26">
          <cell r="K26">
            <v>1408380.52</v>
          </cell>
          <cell r="V26">
            <v>1016592.79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bout this template"/>
      <sheetName val="MAPPING"/>
      <sheetName val="SCOA"/>
      <sheetName val="Cover"/>
      <sheetName val="Gen Info Pg 1"/>
      <sheetName val="Gen Info Pg 2"/>
      <sheetName val="Approval"/>
      <sheetName val="Index"/>
      <sheetName val="Stat of Financial Position"/>
      <sheetName val="Stat of Financial Performance"/>
      <sheetName val="Stat of Changes in Net Assets"/>
      <sheetName val="Cash flow statement"/>
      <sheetName val="Cash Flow Statem"/>
      <sheetName val="Accounting Policies"/>
      <sheetName val="Notes1-10"/>
      <sheetName val="Notes11"/>
      <sheetName val="Notes12-13"/>
      <sheetName val="Notes14"/>
      <sheetName val="Notes15-61"/>
      <sheetName val="App A"/>
      <sheetName val="App B"/>
      <sheetName val="App C"/>
      <sheetName val="App D"/>
      <sheetName val="App E"/>
      <sheetName val="SOURCE"/>
    </sheetNames>
    <sheetDataSet>
      <sheetData sheetId="0" refreshError="1"/>
      <sheetData sheetId="1" refreshError="1"/>
      <sheetData sheetId="2" refreshError="1">
        <row r="287">
          <cell r="H287">
            <v>0</v>
          </cell>
          <cell r="I287">
            <v>0</v>
          </cell>
        </row>
        <row r="288">
          <cell r="H288">
            <v>0</v>
          </cell>
          <cell r="I288">
            <v>0</v>
          </cell>
        </row>
        <row r="289">
          <cell r="H289">
            <v>0</v>
          </cell>
          <cell r="I289">
            <v>0</v>
          </cell>
        </row>
        <row r="290">
          <cell r="H290">
            <v>0</v>
          </cell>
          <cell r="I290">
            <v>0</v>
          </cell>
        </row>
        <row r="291">
          <cell r="H291">
            <v>0</v>
          </cell>
          <cell r="I291">
            <v>0</v>
          </cell>
        </row>
        <row r="292">
          <cell r="H292">
            <v>0</v>
          </cell>
          <cell r="I292">
            <v>0</v>
          </cell>
        </row>
        <row r="293">
          <cell r="H293">
            <v>0</v>
          </cell>
          <cell r="I293">
            <v>0</v>
          </cell>
        </row>
        <row r="294">
          <cell r="H294">
            <v>0</v>
          </cell>
          <cell r="I294">
            <v>0</v>
          </cell>
        </row>
        <row r="295">
          <cell r="H295">
            <v>0</v>
          </cell>
          <cell r="I295">
            <v>0</v>
          </cell>
        </row>
        <row r="296">
          <cell r="H296">
            <v>0</v>
          </cell>
          <cell r="I296">
            <v>0</v>
          </cell>
        </row>
        <row r="297">
          <cell r="H297">
            <v>0</v>
          </cell>
          <cell r="I297">
            <v>0</v>
          </cell>
        </row>
        <row r="298">
          <cell r="H298">
            <v>0</v>
          </cell>
          <cell r="I298">
            <v>0</v>
          </cell>
        </row>
        <row r="299">
          <cell r="H299">
            <v>0</v>
          </cell>
          <cell r="I299">
            <v>0</v>
          </cell>
        </row>
        <row r="300">
          <cell r="H300">
            <v>0</v>
          </cell>
        </row>
      </sheetData>
      <sheetData sheetId="3" refreshError="1">
        <row r="12">
          <cell r="E12" t="str">
            <v>R  (i.e. only cents)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queryTables/queryTable1.xml><?xml version="1.0" encoding="utf-8"?>
<queryTable xmlns="http://schemas.openxmlformats.org/spreadsheetml/2006/main" name="Query from ProMIS" connectionId="1" autoFormatId="16" applyNumberFormats="0" applyBorderFormats="0" applyFontFormats="1" applyPatternFormats="1" applyAlignmentFormats="0" applyWidthHeightFormats="0">
  <queryTableRefresh nextId="12">
    <queryTableFields/>
  </queryTableRefresh>
</queryTable>
</file>

<file path=xl/queryTables/queryTable2.xml><?xml version="1.0" encoding="utf-8"?>
<queryTable xmlns="http://schemas.openxmlformats.org/spreadsheetml/2006/main" name="Query from ProMIS_1" connectionId="2" autoFormatId="16" applyNumberFormats="0" applyBorderFormats="0" applyFontFormats="1" applyPatternFormats="1" applyAlignmentFormats="0" applyWidthHeightFormats="0">
  <queryTableRefresh nextId="12">
    <queryTableFields/>
  </queryTableRefresh>
</queryTable>
</file>

<file path=xl/queryTables/queryTable3.xml><?xml version="1.0" encoding="utf-8"?>
<queryTable xmlns="http://schemas.openxmlformats.org/spreadsheetml/2006/main" name="Query from ProMIS" connectionId="6" autoFormatId="16" applyNumberFormats="0" applyBorderFormats="0" applyFontFormats="1" applyPatternFormats="1" applyAlignmentFormats="0" applyWidthHeightFormats="0">
  <queryTableRefresh nextId="12">
    <queryTableFields/>
  </queryTableRefresh>
</queryTable>
</file>

<file path=xl/queryTables/queryTable4.xml><?xml version="1.0" encoding="utf-8"?>
<queryTable xmlns="http://schemas.openxmlformats.org/spreadsheetml/2006/main" name="Query from ProMIS_3" connectionId="9" autoFormatId="16" applyNumberFormats="0" applyBorderFormats="0" applyFontFormats="1" applyPatternFormats="1" applyAlignmentFormats="0" applyWidthHeightFormats="0">
  <queryTableRefresh nextId="12">
    <queryTableFields/>
  </queryTableRefresh>
</queryTable>
</file>

<file path=xl/queryTables/queryTable5.xml><?xml version="1.0" encoding="utf-8"?>
<queryTable xmlns="http://schemas.openxmlformats.org/spreadsheetml/2006/main" name="Query from ProMIS_2" connectionId="5" autoFormatId="16" applyNumberFormats="0" applyBorderFormats="0" applyFontFormats="1" applyPatternFormats="1" applyAlignmentFormats="0" applyWidthHeightFormats="0">
  <queryTableRefresh nextId="12">
    <queryTableFields/>
  </queryTableRefresh>
</query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queryTable" Target="../queryTables/queryTable3.xml"/><Relationship Id="rId2" Type="http://schemas.openxmlformats.org/officeDocument/2006/relationships/queryTable" Target="../queryTables/queryTable2.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bernard.mokgabudi@treasury.gov.za" TargetMode="External"/><Relationship Id="rId1" Type="http://schemas.openxmlformats.org/officeDocument/2006/relationships/hyperlink" Target="mailto:nare.ngoepe@limtreasury.gov.za" TargetMode="External"/></Relationships>
</file>

<file path=xl/worksheets/_rels/sheet40.xml.rels><?xml version="1.0" encoding="UTF-8" standalone="yes"?>
<Relationships xmlns="http://schemas.openxmlformats.org/package/2006/relationships"><Relationship Id="rId3" Type="http://schemas.openxmlformats.org/officeDocument/2006/relationships/queryTable" Target="../queryTables/queryTable5.xml"/><Relationship Id="rId2" Type="http://schemas.openxmlformats.org/officeDocument/2006/relationships/queryTable" Target="../queryTables/queryTable4.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B1:G125"/>
  <sheetViews>
    <sheetView tabSelected="1" view="pageBreakPreview" topLeftCell="A13" zoomScaleSheetLayoutView="100" workbookViewId="0">
      <selection activeCell="C43" activeCellId="1" sqref="E18 C43"/>
    </sheetView>
  </sheetViews>
  <sheetFormatPr defaultRowHeight="15"/>
  <cols>
    <col min="1" max="1" width="9.42578125" style="57" customWidth="1"/>
    <col min="2" max="2" width="4.140625" style="57" customWidth="1"/>
    <col min="3" max="3" width="76.5703125" style="57" customWidth="1"/>
    <col min="4" max="4" width="3.140625" style="57" customWidth="1"/>
    <col min="5" max="16384" width="9.140625" style="57"/>
  </cols>
  <sheetData>
    <row r="1" spans="2:4">
      <c r="B1" s="69"/>
      <c r="C1" s="64"/>
      <c r="D1" s="81"/>
    </row>
    <row r="2" spans="2:4">
      <c r="B2" s="66"/>
      <c r="C2" s="65"/>
      <c r="D2" s="82"/>
    </row>
    <row r="3" spans="2:4">
      <c r="B3" s="66"/>
      <c r="C3" s="65"/>
      <c r="D3" s="82"/>
    </row>
    <row r="4" spans="2:4" ht="45">
      <c r="B4" s="66"/>
      <c r="C4" s="83"/>
      <c r="D4" s="82"/>
    </row>
    <row r="5" spans="2:4">
      <c r="B5" s="66"/>
      <c r="C5" s="65"/>
      <c r="D5" s="82"/>
    </row>
    <row r="6" spans="2:4" ht="33.75">
      <c r="B6" s="49"/>
      <c r="C6" s="84" t="s">
        <v>1526</v>
      </c>
      <c r="D6" s="50"/>
    </row>
    <row r="7" spans="2:4">
      <c r="B7" s="66"/>
      <c r="C7" s="65"/>
      <c r="D7" s="82"/>
    </row>
    <row r="8" spans="2:4">
      <c r="B8" s="66"/>
      <c r="C8" s="65"/>
      <c r="D8" s="82"/>
    </row>
    <row r="9" spans="2:4">
      <c r="B9" s="66"/>
      <c r="C9" s="65"/>
      <c r="D9" s="82"/>
    </row>
    <row r="10" spans="2:4">
      <c r="B10" s="66"/>
      <c r="C10" s="65"/>
      <c r="D10" s="82"/>
    </row>
    <row r="11" spans="2:4">
      <c r="B11" s="66"/>
      <c r="C11" s="65"/>
      <c r="D11" s="82"/>
    </row>
    <row r="12" spans="2:4">
      <c r="B12" s="66"/>
      <c r="C12" s="65"/>
      <c r="D12" s="82"/>
    </row>
    <row r="13" spans="2:4">
      <c r="B13" s="66"/>
      <c r="C13" s="65"/>
      <c r="D13" s="82"/>
    </row>
    <row r="14" spans="2:4">
      <c r="B14" s="66"/>
      <c r="C14" s="65"/>
      <c r="D14" s="82"/>
    </row>
    <row r="15" spans="2:4">
      <c r="B15" s="66"/>
      <c r="C15" s="65"/>
      <c r="D15" s="82"/>
    </row>
    <row r="16" spans="2:4">
      <c r="B16" s="66"/>
      <c r="C16" s="65"/>
      <c r="D16" s="82"/>
    </row>
    <row r="17" spans="2:4">
      <c r="B17" s="66"/>
      <c r="C17" s="85" t="s">
        <v>1525</v>
      </c>
      <c r="D17" s="82"/>
    </row>
    <row r="18" spans="2:4">
      <c r="B18" s="66"/>
      <c r="C18" s="65"/>
      <c r="D18" s="82"/>
    </row>
    <row r="19" spans="2:4">
      <c r="B19" s="66"/>
      <c r="C19" s="65"/>
      <c r="D19" s="82"/>
    </row>
    <row r="20" spans="2:4">
      <c r="B20" s="66"/>
      <c r="C20" s="65"/>
      <c r="D20" s="82"/>
    </row>
    <row r="21" spans="2:4">
      <c r="B21" s="66"/>
      <c r="C21" s="65"/>
      <c r="D21" s="82"/>
    </row>
    <row r="22" spans="2:4">
      <c r="B22" s="66"/>
      <c r="C22" s="65"/>
      <c r="D22" s="82"/>
    </row>
    <row r="23" spans="2:4">
      <c r="B23" s="66"/>
      <c r="C23" s="65"/>
      <c r="D23" s="82"/>
    </row>
    <row r="24" spans="2:4">
      <c r="B24" s="66"/>
      <c r="C24" s="65"/>
      <c r="D24" s="82"/>
    </row>
    <row r="25" spans="2:4">
      <c r="B25" s="66"/>
      <c r="C25" s="65"/>
      <c r="D25" s="82"/>
    </row>
    <row r="26" spans="2:4">
      <c r="B26" s="66"/>
      <c r="C26" s="65"/>
      <c r="D26" s="82"/>
    </row>
    <row r="27" spans="2:4">
      <c r="B27" s="66"/>
      <c r="C27" s="65"/>
      <c r="D27" s="82"/>
    </row>
    <row r="28" spans="2:4">
      <c r="B28" s="66"/>
      <c r="C28" s="65"/>
      <c r="D28" s="82"/>
    </row>
    <row r="29" spans="2:4">
      <c r="B29" s="66"/>
      <c r="C29" s="65"/>
      <c r="D29" s="82"/>
    </row>
    <row r="30" spans="2:4">
      <c r="B30" s="66"/>
      <c r="C30" s="65"/>
      <c r="D30" s="82"/>
    </row>
    <row r="31" spans="2:4" ht="18.75" thickBot="1">
      <c r="B31" s="66"/>
      <c r="C31" s="86"/>
      <c r="D31" s="82"/>
    </row>
    <row r="32" spans="2:4" ht="18">
      <c r="B32" s="66"/>
      <c r="C32" s="87"/>
      <c r="D32" s="82"/>
    </row>
    <row r="33" spans="2:4" ht="52.5">
      <c r="B33" s="66"/>
      <c r="C33" s="88" t="s">
        <v>2089</v>
      </c>
      <c r="D33" s="82"/>
    </row>
    <row r="34" spans="2:4" ht="15.75" thickBot="1">
      <c r="B34" s="66"/>
      <c r="C34" s="89"/>
      <c r="D34" s="82"/>
    </row>
    <row r="35" spans="2:4">
      <c r="B35" s="66"/>
      <c r="C35" s="90"/>
      <c r="D35" s="82"/>
    </row>
    <row r="36" spans="2:4">
      <c r="B36" s="66"/>
      <c r="C36" s="90"/>
      <c r="D36" s="82"/>
    </row>
    <row r="37" spans="2:4">
      <c r="B37" s="66"/>
      <c r="C37" s="65"/>
      <c r="D37" s="82"/>
    </row>
    <row r="38" spans="2:4">
      <c r="B38" s="66"/>
      <c r="C38" s="65"/>
      <c r="D38" s="82"/>
    </row>
    <row r="39" spans="2:4">
      <c r="B39" s="66"/>
      <c r="C39" s="65"/>
      <c r="D39" s="82"/>
    </row>
    <row r="40" spans="2:4">
      <c r="B40" s="67"/>
      <c r="C40" s="68"/>
      <c r="D40" s="91"/>
    </row>
    <row r="125" spans="7:7">
      <c r="G125" s="57">
        <v>5253981.1399999997</v>
      </c>
    </row>
  </sheetData>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N211"/>
  <sheetViews>
    <sheetView view="pageBreakPreview" topLeftCell="A39" zoomScaleSheetLayoutView="100" workbookViewId="0">
      <selection activeCell="D57" sqref="D57"/>
    </sheetView>
  </sheetViews>
  <sheetFormatPr defaultRowHeight="12.75"/>
  <cols>
    <col min="1" max="1" width="6.28515625" style="1485" customWidth="1"/>
    <col min="2" max="2" width="56.42578125" style="1292" customWidth="1"/>
    <col min="3" max="3" width="3" style="1292" customWidth="1"/>
    <col min="4" max="4" width="17.42578125" style="1292" customWidth="1"/>
    <col min="5" max="5" width="1.7109375" style="1292" customWidth="1"/>
    <col min="6" max="6" width="17.42578125" style="1486" customWidth="1"/>
    <col min="7" max="7" width="2.140625" style="1372" customWidth="1"/>
    <col min="8" max="8" width="9" style="1372" customWidth="1"/>
    <col min="9" max="9" width="2.7109375" style="1372" customWidth="1"/>
    <col min="10" max="12" width="9" style="1372" customWidth="1"/>
    <col min="13" max="13" width="14.5703125" style="1372" bestFit="1" customWidth="1"/>
    <col min="14" max="14" width="9.140625" style="1372" customWidth="1"/>
    <col min="15" max="16384" width="9.140625" style="1292"/>
  </cols>
  <sheetData>
    <row r="1" spans="1:14" ht="15.75" customHeight="1">
      <c r="A1" s="1692" t="s">
        <v>1348</v>
      </c>
      <c r="B1" s="1692"/>
      <c r="C1" s="1692"/>
      <c r="D1" s="1692"/>
      <c r="E1" s="1692"/>
      <c r="F1" s="1692"/>
      <c r="G1" s="1692"/>
      <c r="H1" s="1692"/>
      <c r="I1" s="1692"/>
      <c r="J1" s="1692"/>
      <c r="K1" s="1371"/>
      <c r="L1" s="1371"/>
    </row>
    <row r="2" spans="1:14">
      <c r="A2" s="1693" t="s">
        <v>2075</v>
      </c>
      <c r="B2" s="1693"/>
      <c r="C2" s="1693"/>
      <c r="D2" s="1693"/>
      <c r="E2" s="1693"/>
      <c r="F2" s="1693"/>
      <c r="G2" s="1693"/>
      <c r="H2" s="1693"/>
      <c r="I2" s="1693"/>
      <c r="J2" s="1693"/>
      <c r="K2" s="1373"/>
      <c r="L2" s="1373"/>
    </row>
    <row r="3" spans="1:14">
      <c r="A3" s="1374"/>
      <c r="B3" s="1375"/>
      <c r="C3" s="1375"/>
      <c r="D3" s="1375"/>
      <c r="E3" s="1375"/>
      <c r="F3" s="1376"/>
      <c r="G3" s="1377"/>
      <c r="H3" s="1377"/>
      <c r="I3" s="1377"/>
      <c r="J3" s="1377"/>
      <c r="K3" s="1378"/>
      <c r="L3" s="1378"/>
    </row>
    <row r="4" spans="1:14">
      <c r="A4" s="1379"/>
      <c r="B4" s="1380"/>
      <c r="C4" s="1380"/>
      <c r="D4" s="1380"/>
      <c r="E4" s="1380"/>
      <c r="F4" s="1381"/>
      <c r="G4" s="1382"/>
      <c r="H4" s="1382"/>
      <c r="I4" s="1382"/>
      <c r="J4" s="1383"/>
      <c r="K4" s="1378"/>
      <c r="L4" s="1378"/>
    </row>
    <row r="5" spans="1:14" s="1235" customFormat="1">
      <c r="A5" s="1384"/>
      <c r="B5" s="30"/>
      <c r="C5" s="30"/>
      <c r="D5" s="1385" t="s">
        <v>2077</v>
      </c>
      <c r="E5" s="30"/>
      <c r="F5" s="1385" t="s">
        <v>1796</v>
      </c>
      <c r="G5" s="1386"/>
      <c r="H5" s="1386"/>
      <c r="I5" s="1386"/>
      <c r="J5" s="1387"/>
      <c r="K5" s="1386"/>
      <c r="L5" s="1386"/>
      <c r="M5" s="1388"/>
      <c r="N5" s="1388"/>
    </row>
    <row r="6" spans="1:14" s="1235" customFormat="1">
      <c r="A6" s="1384"/>
      <c r="B6" s="30"/>
      <c r="C6" s="30"/>
      <c r="D6" s="30"/>
      <c r="E6" s="30"/>
      <c r="F6" s="1371"/>
      <c r="G6" s="1386"/>
      <c r="H6" s="1386"/>
      <c r="I6" s="1386"/>
      <c r="J6" s="1387"/>
      <c r="K6" s="1386"/>
      <c r="L6" s="1386"/>
      <c r="M6" s="1388"/>
      <c r="N6" s="1388"/>
    </row>
    <row r="7" spans="1:14" s="32" customFormat="1">
      <c r="A7" s="1389" t="s">
        <v>478</v>
      </c>
      <c r="B7" s="31" t="s">
        <v>840</v>
      </c>
      <c r="C7" s="31"/>
      <c r="D7" s="31"/>
      <c r="E7" s="31"/>
      <c r="F7" s="1390"/>
      <c r="G7" s="1391"/>
      <c r="H7" s="1391"/>
      <c r="I7" s="1391"/>
      <c r="J7" s="1392"/>
      <c r="K7" s="1391"/>
      <c r="L7" s="1391"/>
      <c r="M7" s="1393"/>
      <c r="N7" s="1393"/>
    </row>
    <row r="8" spans="1:14" s="32" customFormat="1">
      <c r="A8" s="1389"/>
      <c r="B8" s="1394" t="s">
        <v>654</v>
      </c>
      <c r="C8" s="1394"/>
      <c r="D8" s="1394"/>
      <c r="E8" s="1394"/>
      <c r="F8" s="1395"/>
      <c r="G8" s="1396"/>
      <c r="H8" s="1396"/>
      <c r="I8" s="1396"/>
      <c r="J8" s="1397"/>
      <c r="K8" s="1396"/>
      <c r="L8" s="1396"/>
      <c r="M8" s="1393"/>
      <c r="N8" s="1393"/>
    </row>
    <row r="9" spans="1:14">
      <c r="A9" s="1384"/>
      <c r="B9" s="1290" t="s">
        <v>841</v>
      </c>
      <c r="C9" s="1290"/>
      <c r="D9" s="1286"/>
      <c r="E9" s="1290"/>
      <c r="F9" s="1398"/>
      <c r="G9" s="1378"/>
      <c r="H9" s="1378"/>
      <c r="I9" s="1378"/>
      <c r="J9" s="1399"/>
      <c r="K9" s="1378"/>
      <c r="L9" s="1378"/>
    </row>
    <row r="10" spans="1:14">
      <c r="A10" s="1384"/>
      <c r="B10" s="1400" t="s">
        <v>653</v>
      </c>
      <c r="C10" s="1400"/>
      <c r="D10" s="1401"/>
      <c r="E10" s="1400"/>
      <c r="F10" s="1402"/>
      <c r="G10" s="1403"/>
      <c r="H10" s="1403"/>
      <c r="I10" s="1403"/>
      <c r="J10" s="1404"/>
      <c r="K10" s="1403"/>
      <c r="L10" s="1403"/>
    </row>
    <row r="11" spans="1:14">
      <c r="A11" s="1384"/>
      <c r="B11" s="1394" t="s">
        <v>655</v>
      </c>
      <c r="C11" s="1394"/>
      <c r="D11" s="1394"/>
      <c r="E11" s="1394"/>
      <c r="F11" s="1395"/>
      <c r="G11" s="1396"/>
      <c r="H11" s="1396"/>
      <c r="I11" s="1396"/>
      <c r="J11" s="1397"/>
      <c r="K11" s="1396"/>
      <c r="L11" s="1396"/>
    </row>
    <row r="12" spans="1:14">
      <c r="A12" s="1384"/>
      <c r="B12" s="1290" t="s">
        <v>842</v>
      </c>
      <c r="C12" s="1290"/>
      <c r="D12" s="1286"/>
      <c r="E12" s="1290"/>
      <c r="F12" s="1398"/>
      <c r="G12" s="1378"/>
      <c r="H12" s="1378"/>
      <c r="I12" s="1378"/>
      <c r="J12" s="1399"/>
      <c r="K12" s="1378"/>
      <c r="L12" s="1378"/>
    </row>
    <row r="13" spans="1:14">
      <c r="A13" s="1384"/>
      <c r="B13" s="1400" t="s">
        <v>672</v>
      </c>
      <c r="C13" s="1400"/>
      <c r="D13" s="1405"/>
      <c r="E13" s="1400"/>
      <c r="F13" s="1406"/>
      <c r="G13" s="1403"/>
      <c r="H13" s="1403"/>
      <c r="I13" s="1403"/>
      <c r="J13" s="1404"/>
      <c r="K13" s="1403"/>
      <c r="L13" s="1403"/>
    </row>
    <row r="14" spans="1:14">
      <c r="A14" s="1384"/>
      <c r="B14" s="1400" t="s">
        <v>653</v>
      </c>
      <c r="C14" s="1400"/>
      <c r="D14" s="1401"/>
      <c r="E14" s="1400"/>
      <c r="F14" s="1402"/>
      <c r="G14" s="1403"/>
      <c r="H14" s="1403"/>
      <c r="I14" s="1403"/>
      <c r="J14" s="1404"/>
      <c r="K14" s="1403"/>
      <c r="L14" s="1403"/>
    </row>
    <row r="15" spans="1:14">
      <c r="A15" s="1384"/>
      <c r="B15" s="1290"/>
      <c r="C15" s="1290"/>
      <c r="D15" s="1290"/>
      <c r="E15" s="1290"/>
      <c r="F15" s="1318"/>
      <c r="G15" s="1378"/>
      <c r="H15" s="1378"/>
      <c r="I15" s="1378"/>
      <c r="J15" s="1399"/>
      <c r="K15" s="1378"/>
      <c r="L15" s="1378"/>
    </row>
    <row r="16" spans="1:14">
      <c r="A16" s="1407"/>
      <c r="B16" s="1375"/>
      <c r="C16" s="1375"/>
      <c r="D16" s="1375"/>
      <c r="E16" s="1375"/>
      <c r="F16" s="1376"/>
      <c r="G16" s="1377"/>
      <c r="H16" s="1377"/>
      <c r="I16" s="1377"/>
      <c r="J16" s="1408"/>
      <c r="K16" s="1378"/>
      <c r="L16" s="1378"/>
    </row>
    <row r="17" spans="1:14">
      <c r="A17" s="1384"/>
      <c r="B17" s="1290"/>
      <c r="C17" s="1290"/>
      <c r="D17" s="1290"/>
      <c r="E17" s="1290"/>
      <c r="F17" s="1318"/>
      <c r="G17" s="1378"/>
      <c r="H17" s="1378"/>
      <c r="I17" s="1378"/>
      <c r="J17" s="1399"/>
      <c r="K17" s="1378"/>
      <c r="L17" s="1378"/>
    </row>
    <row r="18" spans="1:14">
      <c r="A18" s="1389" t="s">
        <v>2809</v>
      </c>
      <c r="B18" s="31" t="s">
        <v>353</v>
      </c>
      <c r="C18" s="1290"/>
      <c r="D18" s="1385" t="s">
        <v>2077</v>
      </c>
      <c r="E18" s="30"/>
      <c r="F18" s="1385" t="s">
        <v>1796</v>
      </c>
      <c r="G18" s="1378"/>
      <c r="H18" s="1378"/>
      <c r="I18" s="1378"/>
      <c r="J18" s="1399"/>
      <c r="K18" s="1378"/>
      <c r="L18" s="1378"/>
    </row>
    <row r="19" spans="1:14">
      <c r="A19" s="1384"/>
      <c r="B19" s="1290"/>
      <c r="C19" s="1290"/>
      <c r="D19" s="1290"/>
      <c r="E19" s="1290"/>
      <c r="F19" s="1318"/>
      <c r="G19" s="1378"/>
      <c r="H19" s="1378"/>
      <c r="I19" s="1378"/>
      <c r="J19" s="1399"/>
      <c r="K19" s="1378"/>
      <c r="L19" s="1378"/>
    </row>
    <row r="20" spans="1:14" ht="13.5" thickBot="1">
      <c r="A20" s="1389"/>
      <c r="B20" s="31"/>
      <c r="C20" s="31"/>
      <c r="D20" s="34">
        <f>SUM(D22+D28+D37)</f>
        <v>37534370</v>
      </c>
      <c r="E20" s="31"/>
      <c r="F20" s="34">
        <f>SUM(F22+F28+F37)</f>
        <v>45172999.730000004</v>
      </c>
      <c r="G20" s="1391"/>
      <c r="H20" s="1391"/>
      <c r="I20" s="1391"/>
      <c r="J20" s="1392"/>
      <c r="K20" s="1391"/>
      <c r="L20" s="1391"/>
    </row>
    <row r="21" spans="1:14" ht="13.5" thickTop="1">
      <c r="A21" s="1384"/>
      <c r="B21" s="1290"/>
      <c r="C21" s="1290"/>
      <c r="D21" s="1290"/>
      <c r="E21" s="1290"/>
      <c r="F21" s="1318"/>
      <c r="G21" s="1378"/>
      <c r="H21" s="1378"/>
      <c r="I21" s="1378"/>
      <c r="J21" s="1399"/>
      <c r="K21" s="1378"/>
      <c r="L21" s="1378"/>
    </row>
    <row r="22" spans="1:14">
      <c r="A22" s="1384"/>
      <c r="B22" s="31" t="s">
        <v>355</v>
      </c>
      <c r="C22" s="31"/>
      <c r="D22" s="1390">
        <f>SUM(D24:D25)</f>
        <v>-25815963</v>
      </c>
      <c r="E22" s="31"/>
      <c r="F22" s="1390">
        <f>SUM(F24:F25)</f>
        <v>-18685963.27</v>
      </c>
      <c r="G22" s="1391"/>
      <c r="H22" s="1391"/>
      <c r="I22" s="1391"/>
      <c r="J22" s="1392"/>
      <c r="K22" s="1391"/>
      <c r="L22" s="1391"/>
    </row>
    <row r="23" spans="1:14">
      <c r="A23" s="1384"/>
      <c r="B23" s="31"/>
      <c r="C23" s="31"/>
      <c r="D23" s="31"/>
      <c r="E23" s="31"/>
      <c r="F23" s="1390"/>
      <c r="G23" s="1391"/>
      <c r="H23" s="1391"/>
      <c r="I23" s="1391"/>
      <c r="J23" s="1392"/>
      <c r="K23" s="1391"/>
      <c r="L23" s="1391"/>
    </row>
    <row r="24" spans="1:14">
      <c r="A24" s="1384"/>
      <c r="B24" s="1409" t="s">
        <v>351</v>
      </c>
      <c r="C24" s="1409"/>
      <c r="D24" s="1410">
        <v>-18685963</v>
      </c>
      <c r="E24" s="1409"/>
      <c r="F24" s="1411">
        <v>-12780226</v>
      </c>
      <c r="G24" s="1412"/>
      <c r="H24" s="1412"/>
      <c r="I24" s="1412"/>
      <c r="J24" s="1413"/>
      <c r="K24" s="1412"/>
      <c r="L24" s="1412"/>
    </row>
    <row r="25" spans="1:14" s="1290" customFormat="1">
      <c r="A25" s="1384"/>
      <c r="B25" s="1414" t="s">
        <v>2435</v>
      </c>
      <c r="C25" s="1414"/>
      <c r="D25" s="1521">
        <v>-7130000</v>
      </c>
      <c r="E25" s="1414"/>
      <c r="F25" s="1522">
        <f>'main TB'!N12</f>
        <v>-5905737.2699999996</v>
      </c>
      <c r="G25" s="1378"/>
      <c r="H25" s="1378"/>
      <c r="I25" s="1378"/>
      <c r="J25" s="1399"/>
      <c r="K25" s="1378"/>
      <c r="L25" s="1378"/>
      <c r="M25" s="1378"/>
      <c r="N25" s="1378"/>
    </row>
    <row r="26" spans="1:14">
      <c r="A26" s="1384"/>
      <c r="B26" s="1290"/>
      <c r="C26" s="1290"/>
      <c r="D26" s="1290"/>
      <c r="E26" s="1290"/>
      <c r="F26" s="1318"/>
      <c r="G26" s="1378"/>
      <c r="H26" s="1378"/>
      <c r="I26" s="1378"/>
      <c r="J26" s="1399"/>
      <c r="K26" s="1378"/>
      <c r="L26" s="1378"/>
    </row>
    <row r="27" spans="1:14">
      <c r="A27" s="1384"/>
      <c r="B27" s="1290"/>
      <c r="C27" s="1290"/>
      <c r="D27" s="1290"/>
      <c r="E27" s="1290"/>
      <c r="F27" s="1318"/>
      <c r="G27" s="1378"/>
      <c r="H27" s="1378"/>
      <c r="I27" s="1378"/>
      <c r="J27" s="1399"/>
      <c r="K27" s="1378"/>
      <c r="L27" s="1378"/>
    </row>
    <row r="28" spans="1:14">
      <c r="A28" s="1384"/>
      <c r="B28" s="33" t="s">
        <v>356</v>
      </c>
      <c r="C28" s="33"/>
      <c r="D28" s="38">
        <f>SUM(D30:D34)</f>
        <v>-320</v>
      </c>
      <c r="E28" s="33"/>
      <c r="F28" s="38">
        <f>SUM(F30:F34)</f>
        <v>-320</v>
      </c>
      <c r="G28" s="788"/>
      <c r="H28" s="788"/>
      <c r="I28" s="788"/>
      <c r="J28" s="1420"/>
      <c r="K28" s="788"/>
      <c r="L28" s="788"/>
    </row>
    <row r="29" spans="1:14">
      <c r="A29" s="1384"/>
      <c r="B29" s="33"/>
      <c r="C29" s="33"/>
      <c r="D29" s="33"/>
      <c r="E29" s="33"/>
      <c r="F29" s="38"/>
      <c r="G29" s="788"/>
      <c r="H29" s="788"/>
      <c r="I29" s="788"/>
      <c r="J29" s="1420"/>
      <c r="K29" s="788"/>
      <c r="L29" s="788"/>
    </row>
    <row r="30" spans="1:14">
      <c r="A30" s="1384"/>
      <c r="B30" s="1409" t="s">
        <v>351</v>
      </c>
      <c r="C30" s="1409"/>
      <c r="D30" s="1410">
        <v>-320</v>
      </c>
      <c r="E30" s="1409"/>
      <c r="F30" s="1411">
        <v>-320</v>
      </c>
      <c r="G30" s="1412"/>
      <c r="H30" s="1412"/>
      <c r="I30" s="1412"/>
      <c r="J30" s="1413"/>
      <c r="K30" s="1412"/>
      <c r="L30" s="1412"/>
    </row>
    <row r="31" spans="1:14">
      <c r="A31" s="1384"/>
      <c r="B31" s="1409"/>
      <c r="C31" s="1409"/>
      <c r="D31" s="1416"/>
      <c r="E31" s="1409"/>
      <c r="F31" s="1417"/>
      <c r="G31" s="1412"/>
      <c r="H31" s="1412"/>
      <c r="I31" s="1412"/>
      <c r="J31" s="1413"/>
      <c r="K31" s="1412"/>
      <c r="L31" s="1412"/>
    </row>
    <row r="32" spans="1:14">
      <c r="A32" s="1384"/>
      <c r="B32" s="1409"/>
      <c r="C32" s="1409"/>
      <c r="D32" s="1416"/>
      <c r="E32" s="1409"/>
      <c r="F32" s="1417"/>
      <c r="G32" s="1412"/>
      <c r="H32" s="1412"/>
      <c r="I32" s="1412"/>
      <c r="J32" s="1413"/>
      <c r="K32" s="1412"/>
      <c r="L32" s="1412"/>
    </row>
    <row r="33" spans="1:14">
      <c r="A33" s="1384"/>
      <c r="B33" s="1409"/>
      <c r="C33" s="1409"/>
      <c r="D33" s="1416"/>
      <c r="E33" s="1409"/>
      <c r="F33" s="1417"/>
      <c r="G33" s="1412"/>
      <c r="H33" s="1412"/>
      <c r="I33" s="1412"/>
      <c r="J33" s="1413"/>
      <c r="K33" s="1412"/>
      <c r="L33" s="1412"/>
    </row>
    <row r="34" spans="1:14" ht="15" customHeight="1">
      <c r="A34" s="1384"/>
      <c r="B34" s="1409"/>
      <c r="C34" s="1409"/>
      <c r="D34" s="1418"/>
      <c r="E34" s="1409"/>
      <c r="F34" s="1419"/>
      <c r="G34" s="1412"/>
      <c r="H34" s="1412"/>
      <c r="I34" s="1412"/>
      <c r="J34" s="1413"/>
      <c r="K34" s="1412"/>
      <c r="L34" s="1412"/>
    </row>
    <row r="35" spans="1:14" s="32" customFormat="1">
      <c r="A35" s="1384"/>
      <c r="B35" s="1295"/>
      <c r="C35" s="1295"/>
      <c r="D35" s="1295"/>
      <c r="E35" s="1295"/>
      <c r="F35" s="1296"/>
      <c r="G35" s="1421"/>
      <c r="H35" s="1421"/>
      <c r="I35" s="1421"/>
      <c r="J35" s="1422"/>
      <c r="K35" s="1421"/>
      <c r="L35" s="1421"/>
      <c r="M35" s="1393"/>
      <c r="N35" s="1393"/>
    </row>
    <row r="36" spans="1:14">
      <c r="A36" s="1384"/>
      <c r="B36" s="33"/>
      <c r="C36" s="33"/>
      <c r="D36" s="33"/>
      <c r="E36" s="33"/>
      <c r="F36" s="38"/>
      <c r="G36" s="788"/>
      <c r="H36" s="788"/>
      <c r="I36" s="788"/>
      <c r="J36" s="1420"/>
      <c r="K36" s="788"/>
      <c r="L36" s="788"/>
    </row>
    <row r="37" spans="1:14">
      <c r="A37" s="1384"/>
      <c r="B37" s="33" t="s">
        <v>1106</v>
      </c>
      <c r="C37" s="33"/>
      <c r="D37" s="38">
        <f>SUM(D39:D43)</f>
        <v>63350653</v>
      </c>
      <c r="E37" s="33"/>
      <c r="F37" s="38">
        <f>SUM(F39:F43)</f>
        <v>63859283</v>
      </c>
      <c r="G37" s="788"/>
      <c r="H37" s="788"/>
      <c r="I37" s="788"/>
      <c r="J37" s="1420"/>
      <c r="K37" s="788"/>
      <c r="L37" s="788"/>
    </row>
    <row r="38" spans="1:14">
      <c r="A38" s="1384"/>
      <c r="B38" s="33"/>
      <c r="C38" s="33"/>
      <c r="D38" s="33"/>
      <c r="E38" s="33"/>
      <c r="F38" s="38"/>
      <c r="G38" s="788"/>
      <c r="H38" s="788"/>
      <c r="I38" s="788"/>
      <c r="J38" s="1420"/>
      <c r="K38" s="788"/>
      <c r="L38" s="788"/>
    </row>
    <row r="39" spans="1:14">
      <c r="A39" s="1384"/>
      <c r="B39" s="1409" t="s">
        <v>351</v>
      </c>
      <c r="C39" s="1409"/>
      <c r="D39" s="1410">
        <v>63859283</v>
      </c>
      <c r="E39" s="1409"/>
      <c r="F39" s="1411">
        <v>82528503</v>
      </c>
      <c r="G39" s="1412"/>
      <c r="H39" s="1412"/>
      <c r="I39" s="1412"/>
      <c r="J39" s="1413"/>
      <c r="K39" s="1412"/>
      <c r="L39" s="1412"/>
    </row>
    <row r="40" spans="1:14">
      <c r="A40" s="1384"/>
      <c r="B40" s="1409" t="s">
        <v>36</v>
      </c>
      <c r="C40" s="1409"/>
      <c r="D40" s="1423"/>
      <c r="E40" s="1409"/>
      <c r="F40" s="1417"/>
      <c r="G40" s="1412"/>
      <c r="H40" s="1412"/>
      <c r="I40" s="1412"/>
      <c r="J40" s="1413"/>
      <c r="K40" s="1412"/>
      <c r="L40" s="1412"/>
    </row>
    <row r="41" spans="1:14">
      <c r="A41" s="1384"/>
      <c r="B41" s="1409" t="s">
        <v>36</v>
      </c>
      <c r="C41" s="1409"/>
      <c r="D41" s="1423"/>
      <c r="E41" s="1409"/>
      <c r="F41" s="1417"/>
      <c r="G41" s="1412"/>
      <c r="H41" s="1412"/>
      <c r="I41" s="1412"/>
      <c r="J41" s="1413"/>
      <c r="K41" s="1412"/>
      <c r="L41" s="1412"/>
    </row>
    <row r="42" spans="1:14">
      <c r="A42" s="1384"/>
      <c r="B42" s="1631" t="s">
        <v>2909</v>
      </c>
      <c r="C42" s="1409"/>
      <c r="D42" s="1424">
        <f>11094070.07-158500-12299080-12087120.07+12942000</f>
        <v>-508630</v>
      </c>
      <c r="E42" s="1409"/>
      <c r="F42" s="1417">
        <v>-18669220</v>
      </c>
      <c r="G42" s="1412"/>
      <c r="H42" s="1412"/>
      <c r="I42" s="1412"/>
      <c r="J42" s="1413"/>
      <c r="K42" s="1412"/>
      <c r="L42" s="1412"/>
    </row>
    <row r="43" spans="1:14">
      <c r="A43" s="1384"/>
      <c r="B43" s="1409" t="s">
        <v>36</v>
      </c>
      <c r="C43" s="1409"/>
      <c r="D43" s="1418"/>
      <c r="E43" s="1409"/>
      <c r="F43" s="1419"/>
      <c r="G43" s="1412"/>
      <c r="H43" s="1412"/>
      <c r="I43" s="1412"/>
      <c r="J43" s="1413"/>
      <c r="K43" s="1412"/>
      <c r="L43" s="1412"/>
    </row>
    <row r="44" spans="1:14">
      <c r="A44" s="1384"/>
      <c r="B44" s="1295"/>
      <c r="C44" s="1295"/>
      <c r="D44" s="1295"/>
      <c r="E44" s="1295"/>
      <c r="F44" s="1296"/>
      <c r="G44" s="1421"/>
      <c r="H44" s="1421"/>
      <c r="I44" s="1421"/>
      <c r="J44" s="1422"/>
      <c r="K44" s="1421"/>
      <c r="L44" s="1421"/>
    </row>
    <row r="45" spans="1:14">
      <c r="A45" s="1407"/>
      <c r="B45" s="1375"/>
      <c r="C45" s="1375"/>
      <c r="D45" s="1375"/>
      <c r="E45" s="1375"/>
      <c r="F45" s="1376"/>
      <c r="G45" s="1377"/>
      <c r="H45" s="1377"/>
      <c r="I45" s="1377"/>
      <c r="J45" s="1408"/>
      <c r="K45" s="1378"/>
      <c r="L45" s="1378"/>
    </row>
    <row r="46" spans="1:14">
      <c r="A46" s="1384"/>
      <c r="B46" s="1290"/>
      <c r="C46" s="1290"/>
      <c r="D46" s="1290"/>
      <c r="E46" s="1290"/>
      <c r="F46" s="1318"/>
      <c r="G46" s="1378"/>
      <c r="H46" s="1378"/>
      <c r="I46" s="1378"/>
      <c r="J46" s="1399"/>
      <c r="K46" s="1378"/>
      <c r="L46" s="1378"/>
    </row>
    <row r="47" spans="1:14">
      <c r="A47" s="1389" t="s">
        <v>479</v>
      </c>
      <c r="B47" s="33" t="s">
        <v>1713</v>
      </c>
      <c r="C47" s="33"/>
      <c r="D47" s="1385" t="s">
        <v>2077</v>
      </c>
      <c r="E47" s="30"/>
      <c r="F47" s="1385" t="s">
        <v>1796</v>
      </c>
      <c r="G47" s="788"/>
      <c r="H47" s="788"/>
      <c r="I47" s="788"/>
      <c r="J47" s="1420"/>
      <c r="K47" s="788"/>
      <c r="L47" s="788"/>
    </row>
    <row r="48" spans="1:14">
      <c r="A48" s="1389"/>
      <c r="B48" s="33"/>
      <c r="C48" s="33"/>
      <c r="D48" s="1425"/>
      <c r="E48" s="30"/>
      <c r="F48" s="1425"/>
      <c r="G48" s="788"/>
      <c r="H48" s="788"/>
      <c r="I48" s="788"/>
      <c r="J48" s="1420"/>
      <c r="K48" s="788"/>
      <c r="L48" s="788"/>
    </row>
    <row r="49" spans="1:12" ht="13.5" thickBot="1">
      <c r="A49" s="1384"/>
      <c r="B49" s="33" t="s">
        <v>2008</v>
      </c>
      <c r="C49" s="33"/>
      <c r="D49" s="1426">
        <f>F58</f>
        <v>67504260.529999986</v>
      </c>
      <c r="E49" s="33"/>
      <c r="F49" s="34">
        <f>90739349+1</f>
        <v>90739350</v>
      </c>
      <c r="G49" s="1391"/>
      <c r="H49" s="1391"/>
      <c r="I49" s="1391"/>
      <c r="J49" s="1392"/>
      <c r="K49" s="1391"/>
      <c r="L49" s="1391"/>
    </row>
    <row r="50" spans="1:12" ht="13.5" thickTop="1">
      <c r="A50" s="1384"/>
      <c r="B50" s="33"/>
      <c r="C50" s="33"/>
      <c r="D50" s="33"/>
      <c r="E50" s="33"/>
      <c r="F50" s="1390"/>
      <c r="G50" s="1391"/>
      <c r="H50" s="1391"/>
      <c r="I50" s="1391"/>
      <c r="J50" s="1392"/>
      <c r="K50" s="1391"/>
      <c r="L50" s="1391"/>
    </row>
    <row r="51" spans="1:12">
      <c r="A51" s="1384"/>
      <c r="B51" s="1295" t="s">
        <v>2009</v>
      </c>
      <c r="C51" s="1295"/>
      <c r="D51" s="1421">
        <f>'Appendix D'!O78</f>
        <v>15198325.660000006</v>
      </c>
      <c r="E51" s="1295"/>
      <c r="F51" s="1296">
        <f>'Appendix D'!G78</f>
        <v>-14841360.20000001</v>
      </c>
      <c r="G51" s="1421"/>
      <c r="H51" s="1421"/>
      <c r="I51" s="1421"/>
      <c r="J51" s="1422"/>
      <c r="K51" s="1421"/>
      <c r="L51" s="1421"/>
    </row>
    <row r="52" spans="1:12">
      <c r="A52" s="1384"/>
      <c r="B52" s="1409"/>
      <c r="C52" s="1409"/>
      <c r="D52" s="1412"/>
      <c r="E52" s="1409"/>
      <c r="F52" s="1427"/>
      <c r="G52" s="1412"/>
      <c r="H52" s="1412"/>
      <c r="I52" s="1412"/>
      <c r="J52" s="1413"/>
      <c r="K52" s="1412"/>
      <c r="L52" s="1412"/>
    </row>
    <row r="53" spans="1:12">
      <c r="A53" s="1384"/>
      <c r="B53" s="1409" t="s">
        <v>1715</v>
      </c>
      <c r="C53" s="1409"/>
      <c r="D53" s="1412">
        <f>-3397398+3.71-28802.29-1069273.83+38699.24-754842.32</f>
        <v>-5211613.49</v>
      </c>
      <c r="E53" s="1409"/>
      <c r="F53" s="1427">
        <v>3752008</v>
      </c>
      <c r="G53" s="1412"/>
      <c r="H53" s="1412"/>
      <c r="I53" s="1412"/>
      <c r="J53" s="1413"/>
      <c r="K53" s="1412"/>
      <c r="L53" s="1412"/>
    </row>
    <row r="54" spans="1:12">
      <c r="A54" s="1384"/>
      <c r="B54" s="1409" t="s">
        <v>2013</v>
      </c>
      <c r="C54" s="1409"/>
      <c r="D54" s="1412"/>
      <c r="E54" s="1409"/>
      <c r="F54" s="1427">
        <v>-6240000</v>
      </c>
      <c r="G54" s="1412"/>
      <c r="H54" s="1412"/>
      <c r="I54" s="1412"/>
      <c r="J54" s="1413"/>
      <c r="K54" s="1412"/>
      <c r="L54" s="1412"/>
    </row>
    <row r="55" spans="1:12">
      <c r="A55" s="1384"/>
      <c r="B55" s="1295" t="s">
        <v>2012</v>
      </c>
      <c r="C55" s="1295"/>
      <c r="D55" s="1421">
        <v>-7130000</v>
      </c>
      <c r="E55" s="1295"/>
      <c r="F55" s="1296">
        <v>-5905737.2699999996</v>
      </c>
      <c r="G55" s="1421"/>
      <c r="H55" s="1421"/>
      <c r="I55" s="1421"/>
      <c r="J55" s="1422"/>
      <c r="K55" s="1421"/>
      <c r="L55" s="1421"/>
    </row>
    <row r="56" spans="1:12">
      <c r="A56" s="1384"/>
      <c r="B56" s="1559" t="s">
        <v>2887</v>
      </c>
      <c r="C56" s="1295"/>
      <c r="D56" s="1421">
        <f>288496.73+2298881</f>
        <v>2587377.73</v>
      </c>
      <c r="E56" s="1295"/>
      <c r="F56" s="1296">
        <v>0</v>
      </c>
      <c r="G56" s="1421"/>
      <c r="H56" s="1421"/>
      <c r="I56" s="1421"/>
      <c r="J56" s="1422"/>
      <c r="K56" s="1421"/>
      <c r="L56" s="1421"/>
    </row>
    <row r="57" spans="1:12">
      <c r="A57" s="1384"/>
      <c r="B57" s="1295"/>
      <c r="C57" s="1295"/>
      <c r="D57" s="1421"/>
      <c r="E57" s="1295"/>
      <c r="F57" s="1296"/>
      <c r="G57" s="1421"/>
      <c r="H57" s="1421"/>
      <c r="I57" s="1421"/>
      <c r="J57" s="1422"/>
      <c r="K57" s="1421"/>
      <c r="L57" s="1421"/>
    </row>
    <row r="58" spans="1:12" ht="13.5" thickBot="1">
      <c r="A58" s="1384"/>
      <c r="B58" s="33" t="s">
        <v>1992</v>
      </c>
      <c r="C58" s="33"/>
      <c r="D58" s="1428">
        <f>SUM(D49:D57)</f>
        <v>72948350.430000007</v>
      </c>
      <c r="E58" s="33"/>
      <c r="F58" s="1429">
        <f>SUM(F49:F57)</f>
        <v>67504260.529999986</v>
      </c>
      <c r="G58" s="788"/>
      <c r="H58" s="788"/>
      <c r="I58" s="788"/>
      <c r="J58" s="1420"/>
      <c r="K58" s="788"/>
      <c r="L58" s="788"/>
    </row>
    <row r="59" spans="1:12" ht="13.5" thickTop="1">
      <c r="A59" s="1384"/>
      <c r="B59" s="1290"/>
      <c r="C59" s="1290"/>
      <c r="D59" s="1378"/>
      <c r="E59" s="1290"/>
      <c r="F59" s="1318"/>
      <c r="G59" s="1378"/>
      <c r="H59" s="1378"/>
      <c r="I59" s="1378"/>
      <c r="J59" s="1399"/>
      <c r="K59" s="1378"/>
      <c r="L59" s="1378"/>
    </row>
    <row r="60" spans="1:12">
      <c r="A60" s="1407"/>
      <c r="B60" s="1375"/>
      <c r="C60" s="1375"/>
      <c r="D60" s="1375"/>
      <c r="E60" s="1375"/>
      <c r="F60" s="1376"/>
      <c r="G60" s="1377"/>
      <c r="H60" s="1377"/>
      <c r="I60" s="1377"/>
      <c r="J60" s="1408"/>
      <c r="K60" s="1378"/>
      <c r="L60" s="1378"/>
    </row>
    <row r="61" spans="1:12">
      <c r="A61" s="1384"/>
      <c r="B61" s="1290"/>
      <c r="C61" s="1290"/>
      <c r="D61" s="1290"/>
      <c r="E61" s="1290"/>
      <c r="F61" s="1318"/>
      <c r="G61" s="1378"/>
      <c r="H61" s="1378"/>
      <c r="I61" s="1378"/>
      <c r="J61" s="1399"/>
      <c r="K61" s="1378"/>
      <c r="L61" s="1378"/>
    </row>
    <row r="62" spans="1:12">
      <c r="A62" s="1389" t="s">
        <v>480</v>
      </c>
      <c r="B62" s="74" t="s">
        <v>2225</v>
      </c>
      <c r="C62" s="33"/>
      <c r="D62" s="1385" t="s">
        <v>2077</v>
      </c>
      <c r="E62" s="30"/>
      <c r="F62" s="1385" t="s">
        <v>1796</v>
      </c>
      <c r="G62" s="788"/>
      <c r="H62" s="788"/>
      <c r="I62" s="788"/>
      <c r="J62" s="1420"/>
      <c r="K62" s="788"/>
      <c r="L62" s="788"/>
    </row>
    <row r="63" spans="1:12">
      <c r="A63" s="1384"/>
      <c r="B63" s="1295"/>
      <c r="C63" s="1295"/>
      <c r="D63" s="1295"/>
      <c r="E63" s="1295"/>
      <c r="F63" s="1296"/>
      <c r="G63" s="1421"/>
      <c r="H63" s="1421"/>
      <c r="I63" s="1421"/>
      <c r="J63" s="1422"/>
      <c r="K63" s="1421"/>
      <c r="L63" s="1421"/>
    </row>
    <row r="64" spans="1:12">
      <c r="A64" s="1384"/>
      <c r="B64" s="1295" t="s">
        <v>358</v>
      </c>
      <c r="C64" s="1295"/>
      <c r="D64" s="1430">
        <f>'Appendix A'!O31</f>
        <v>15229266.58</v>
      </c>
      <c r="E64" s="1295"/>
      <c r="F64" s="1430">
        <f>'Appendix A'!K31</f>
        <v>18544962.289999999</v>
      </c>
      <c r="G64" s="1421"/>
      <c r="H64" s="1421"/>
      <c r="I64" s="1421"/>
      <c r="J64" s="1422"/>
      <c r="K64" s="1421"/>
      <c r="L64" s="1421"/>
    </row>
    <row r="65" spans="1:12">
      <c r="A65" s="1384"/>
      <c r="B65" s="1295" t="s">
        <v>492</v>
      </c>
      <c r="C65" s="1295"/>
      <c r="D65" s="1336">
        <f>'Appendix A'!O33</f>
        <v>0</v>
      </c>
      <c r="E65" s="1295"/>
      <c r="F65" s="1431">
        <v>950592.37</v>
      </c>
      <c r="G65" s="1421"/>
      <c r="H65" s="1421"/>
      <c r="I65" s="1421"/>
      <c r="J65" s="1422"/>
      <c r="K65" s="1421"/>
      <c r="L65" s="1421"/>
    </row>
    <row r="66" spans="1:12">
      <c r="A66" s="1384"/>
      <c r="B66" s="1295"/>
      <c r="C66" s="1295"/>
      <c r="D66" s="1295"/>
      <c r="E66" s="1295"/>
      <c r="F66" s="1296"/>
      <c r="G66" s="1421"/>
      <c r="H66" s="1421"/>
      <c r="I66" s="1421"/>
      <c r="J66" s="1422"/>
      <c r="K66" s="1421"/>
      <c r="L66" s="1421"/>
    </row>
    <row r="67" spans="1:12" ht="13.5" thickBot="1">
      <c r="A67" s="1384"/>
      <c r="B67" s="33" t="s">
        <v>359</v>
      </c>
      <c r="C67" s="33"/>
      <c r="D67" s="1429">
        <f>SUM(D64:D65)</f>
        <v>15229266.58</v>
      </c>
      <c r="E67" s="33"/>
      <c r="F67" s="1429">
        <f>SUM(F64:F65)</f>
        <v>19495554.66</v>
      </c>
      <c r="G67" s="788"/>
      <c r="H67" s="788"/>
      <c r="I67" s="788"/>
      <c r="J67" s="1420"/>
      <c r="K67" s="788"/>
      <c r="L67" s="788"/>
    </row>
    <row r="68" spans="1:12" ht="13.5" thickTop="1">
      <c r="A68" s="1384"/>
      <c r="B68" s="33"/>
      <c r="C68" s="33"/>
      <c r="D68" s="33"/>
      <c r="E68" s="33"/>
      <c r="F68" s="38"/>
      <c r="G68" s="788"/>
      <c r="H68" s="788"/>
      <c r="I68" s="788"/>
      <c r="J68" s="1420"/>
      <c r="K68" s="788"/>
      <c r="L68" s="788"/>
    </row>
    <row r="69" spans="1:12">
      <c r="A69" s="1384"/>
      <c r="B69" s="1295" t="s">
        <v>360</v>
      </c>
      <c r="C69" s="1295"/>
      <c r="D69" s="1296">
        <v>-1703387.93</v>
      </c>
      <c r="E69" s="1295"/>
      <c r="F69" s="1296">
        <v>-4421075.92</v>
      </c>
      <c r="G69" s="1421"/>
      <c r="H69" s="1421"/>
      <c r="I69" s="1421"/>
      <c r="J69" s="1422"/>
      <c r="K69" s="1421"/>
      <c r="L69" s="1421"/>
    </row>
    <row r="70" spans="1:12">
      <c r="A70" s="1384"/>
      <c r="B70" s="1295"/>
      <c r="C70" s="1295"/>
      <c r="D70" s="1295"/>
      <c r="E70" s="1295"/>
      <c r="F70" s="1296"/>
      <c r="G70" s="1421"/>
      <c r="H70" s="1421"/>
      <c r="I70" s="1421"/>
      <c r="J70" s="1422"/>
      <c r="K70" s="1421"/>
      <c r="L70" s="1421"/>
    </row>
    <row r="71" spans="1:12" ht="13.5" thickBot="1">
      <c r="A71" s="1384"/>
      <c r="B71" s="33" t="s">
        <v>361</v>
      </c>
      <c r="C71" s="33"/>
      <c r="D71" s="34">
        <f>D69+D67</f>
        <v>13525878.65</v>
      </c>
      <c r="E71" s="33"/>
      <c r="F71" s="34">
        <f>F69+F67</f>
        <v>15074478.74</v>
      </c>
      <c r="G71" s="788"/>
      <c r="H71" s="788"/>
      <c r="I71" s="788"/>
      <c r="J71" s="1420"/>
      <c r="K71" s="788"/>
      <c r="L71" s="788"/>
    </row>
    <row r="72" spans="1:12" ht="13.5" thickTop="1">
      <c r="A72" s="1384"/>
      <c r="B72" s="1290"/>
      <c r="C72" s="1290"/>
      <c r="D72" s="1290"/>
      <c r="E72" s="1290"/>
      <c r="F72" s="1318"/>
      <c r="G72" s="1378"/>
      <c r="H72" s="1378"/>
      <c r="I72" s="1378"/>
      <c r="J72" s="1399"/>
      <c r="K72" s="1378"/>
      <c r="L72" s="1378"/>
    </row>
    <row r="73" spans="1:12">
      <c r="A73" s="1384"/>
      <c r="B73" s="1290"/>
      <c r="C73" s="1290"/>
      <c r="D73" s="1290"/>
      <c r="E73" s="1290"/>
      <c r="F73" s="1318"/>
      <c r="G73" s="1378"/>
      <c r="H73" s="1378"/>
      <c r="I73" s="1378"/>
      <c r="J73" s="1399"/>
      <c r="K73" s="1378"/>
      <c r="L73" s="1378"/>
    </row>
    <row r="74" spans="1:12">
      <c r="A74" s="1384"/>
      <c r="B74" s="1432" t="s">
        <v>362</v>
      </c>
      <c r="C74" s="1432"/>
      <c r="D74" s="1432"/>
      <c r="E74" s="1432"/>
      <c r="F74" s="1433"/>
      <c r="G74" s="1434"/>
      <c r="H74" s="1434"/>
      <c r="I74" s="1434"/>
      <c r="J74" s="1435"/>
      <c r="K74" s="1434"/>
      <c r="L74" s="1434"/>
    </row>
    <row r="75" spans="1:12">
      <c r="A75" s="1384"/>
      <c r="B75" s="1432"/>
      <c r="C75" s="1432"/>
      <c r="D75" s="1432"/>
      <c r="E75" s="1432"/>
      <c r="F75" s="1433"/>
      <c r="G75" s="1434"/>
      <c r="H75" s="1434"/>
      <c r="I75" s="1434"/>
      <c r="J75" s="1435"/>
      <c r="K75" s="1434"/>
      <c r="L75" s="1434"/>
    </row>
    <row r="76" spans="1:12">
      <c r="A76" s="1384"/>
      <c r="B76" s="1436" t="s">
        <v>1539</v>
      </c>
      <c r="C76" s="1436"/>
      <c r="D76" s="1436"/>
      <c r="E76" s="1436"/>
      <c r="F76" s="1437"/>
      <c r="G76" s="1438"/>
      <c r="H76" s="1438"/>
      <c r="I76" s="1438"/>
      <c r="J76" s="1439"/>
      <c r="K76" s="1438"/>
      <c r="L76" s="1438"/>
    </row>
    <row r="77" spans="1:12">
      <c r="A77" s="1384"/>
      <c r="B77" s="1440"/>
      <c r="C77" s="1440"/>
      <c r="D77" s="1440"/>
      <c r="E77" s="1440"/>
      <c r="F77" s="1441"/>
      <c r="G77" s="1442"/>
      <c r="H77" s="1442"/>
      <c r="I77" s="1442"/>
      <c r="J77" s="1443"/>
      <c r="K77" s="1442"/>
      <c r="L77" s="1442"/>
    </row>
    <row r="78" spans="1:12" ht="51">
      <c r="A78" s="1384"/>
      <c r="B78" s="1444" t="s">
        <v>2751</v>
      </c>
      <c r="C78" s="1444"/>
      <c r="D78" s="1444"/>
      <c r="E78" s="1444"/>
      <c r="F78" s="1445"/>
      <c r="G78" s="1446"/>
      <c r="H78" s="1446"/>
      <c r="I78" s="1446"/>
      <c r="J78" s="1447"/>
      <c r="K78" s="1446"/>
      <c r="L78" s="1446"/>
    </row>
    <row r="79" spans="1:12">
      <c r="A79" s="1384"/>
      <c r="B79" s="1440"/>
      <c r="C79" s="1440"/>
      <c r="D79" s="1440"/>
      <c r="E79" s="1440"/>
      <c r="F79" s="1441"/>
      <c r="G79" s="1442"/>
      <c r="H79" s="1442"/>
      <c r="I79" s="1442"/>
      <c r="J79" s="1443"/>
      <c r="K79" s="1442"/>
      <c r="L79" s="1442"/>
    </row>
    <row r="80" spans="1:12" ht="25.5">
      <c r="A80" s="1384"/>
      <c r="B80" s="1444" t="s">
        <v>1540</v>
      </c>
      <c r="C80" s="1444"/>
      <c r="D80" s="1444"/>
      <c r="E80" s="1444"/>
      <c r="F80" s="1445"/>
      <c r="G80" s="1446"/>
      <c r="H80" s="1446"/>
      <c r="I80" s="1446"/>
      <c r="J80" s="1447"/>
      <c r="K80" s="1446"/>
      <c r="L80" s="1446"/>
    </row>
    <row r="81" spans="1:12">
      <c r="A81" s="1384"/>
      <c r="B81" s="1440"/>
      <c r="C81" s="1440"/>
      <c r="D81" s="1440"/>
      <c r="E81" s="1440"/>
      <c r="F81" s="1441"/>
      <c r="G81" s="1442"/>
      <c r="H81" s="1442"/>
      <c r="I81" s="1442"/>
      <c r="J81" s="1443"/>
      <c r="K81" s="1442"/>
      <c r="L81" s="1442"/>
    </row>
    <row r="82" spans="1:12" ht="27" customHeight="1">
      <c r="A82" s="1384"/>
      <c r="B82" s="1440"/>
      <c r="C82" s="1440"/>
      <c r="D82" s="1448" t="s">
        <v>1993</v>
      </c>
      <c r="E82" s="1440"/>
      <c r="F82" s="1448" t="s">
        <v>1541</v>
      </c>
      <c r="G82" s="1449"/>
      <c r="H82" s="1450" t="s">
        <v>1542</v>
      </c>
      <c r="I82" s="1450"/>
      <c r="J82" s="1451" t="s">
        <v>1108</v>
      </c>
      <c r="K82" s="1448"/>
      <c r="L82" s="1448"/>
    </row>
    <row r="83" spans="1:12">
      <c r="A83" s="1384"/>
      <c r="B83" s="1440"/>
      <c r="C83" s="1440"/>
      <c r="D83" s="1448" t="s">
        <v>1314</v>
      </c>
      <c r="E83" s="1440"/>
      <c r="F83" s="1448" t="s">
        <v>1314</v>
      </c>
      <c r="G83" s="1449"/>
      <c r="H83" s="1448" t="s">
        <v>1314</v>
      </c>
      <c r="I83" s="1448"/>
      <c r="J83" s="1451" t="s">
        <v>1314</v>
      </c>
      <c r="K83" s="1448"/>
      <c r="L83" s="1448"/>
    </row>
    <row r="84" spans="1:12">
      <c r="A84" s="1384"/>
      <c r="B84" s="1444">
        <v>2011</v>
      </c>
      <c r="C84" s="1444"/>
      <c r="D84" s="1440"/>
      <c r="E84" s="1444"/>
      <c r="F84" s="1452"/>
      <c r="G84" s="1440"/>
      <c r="H84" s="1452"/>
      <c r="I84" s="1452"/>
      <c r="J84" s="1453"/>
      <c r="K84" s="1452"/>
      <c r="L84" s="1452"/>
    </row>
    <row r="85" spans="1:12">
      <c r="A85" s="1384"/>
      <c r="B85" s="1440"/>
      <c r="C85" s="1440"/>
      <c r="D85" s="1440"/>
      <c r="E85" s="1440"/>
      <c r="F85" s="1452"/>
      <c r="G85" s="1440"/>
      <c r="H85" s="1452"/>
      <c r="I85" s="1452"/>
      <c r="J85" s="1453"/>
      <c r="K85" s="1452"/>
      <c r="L85" s="1452"/>
    </row>
    <row r="86" spans="1:12">
      <c r="A86" s="1384"/>
      <c r="B86" s="1444" t="s">
        <v>1543</v>
      </c>
      <c r="C86" s="1444"/>
      <c r="D86" s="1441">
        <v>1006618.7</v>
      </c>
      <c r="E86" s="1444"/>
      <c r="F86" s="1441">
        <v>0</v>
      </c>
      <c r="G86" s="1441"/>
      <c r="H86" s="1441"/>
      <c r="I86" s="1441"/>
      <c r="J86" s="1454">
        <v>0</v>
      </c>
      <c r="K86" s="1441"/>
      <c r="L86" s="1441"/>
    </row>
    <row r="87" spans="1:12">
      <c r="A87" s="1384"/>
      <c r="B87" s="1444" t="s">
        <v>1340</v>
      </c>
      <c r="C87" s="1444"/>
      <c r="D87" s="1441">
        <v>56026.36</v>
      </c>
      <c r="E87" s="1444"/>
      <c r="F87" s="1441">
        <v>0</v>
      </c>
      <c r="G87" s="1441"/>
      <c r="H87" s="1441"/>
      <c r="I87" s="1441"/>
      <c r="J87" s="1454">
        <v>0</v>
      </c>
      <c r="K87" s="1441"/>
      <c r="L87" s="1441"/>
    </row>
    <row r="88" spans="1:12" ht="13.5" thickBot="1">
      <c r="A88" s="1384"/>
      <c r="B88" s="1444" t="s">
        <v>1544</v>
      </c>
      <c r="C88" s="1444"/>
      <c r="D88" s="1455">
        <f>D86-D87</f>
        <v>950592.34</v>
      </c>
      <c r="E88" s="1456"/>
      <c r="F88" s="1455">
        <f>F86-F87</f>
        <v>0</v>
      </c>
      <c r="G88" s="1437"/>
      <c r="H88" s="1455">
        <f>H86-H87</f>
        <v>0</v>
      </c>
      <c r="I88" s="1437"/>
      <c r="J88" s="1457">
        <v>0</v>
      </c>
      <c r="K88" s="1441"/>
      <c r="L88" s="1441"/>
    </row>
    <row r="89" spans="1:12" ht="13.5" thickTop="1">
      <c r="A89" s="1384"/>
      <c r="B89" s="1440"/>
      <c r="C89" s="1440"/>
      <c r="D89" s="1441"/>
      <c r="E89" s="1440"/>
      <c r="F89" s="1441"/>
      <c r="G89" s="1441"/>
      <c r="H89" s="1441"/>
      <c r="I89" s="1441"/>
      <c r="J89" s="1454"/>
      <c r="K89" s="1441"/>
      <c r="L89" s="1441"/>
    </row>
    <row r="90" spans="1:12">
      <c r="A90" s="1384"/>
      <c r="B90" s="1444">
        <v>2010</v>
      </c>
      <c r="C90" s="1444"/>
      <c r="D90" s="1441"/>
      <c r="E90" s="1444"/>
      <c r="F90" s="1441"/>
      <c r="G90" s="1441"/>
      <c r="H90" s="1441"/>
      <c r="I90" s="1441"/>
      <c r="J90" s="1454"/>
      <c r="K90" s="1441"/>
      <c r="L90" s="1441"/>
    </row>
    <row r="91" spans="1:12">
      <c r="A91" s="1384"/>
      <c r="B91" s="1440"/>
      <c r="C91" s="1440"/>
      <c r="D91" s="1441"/>
      <c r="E91" s="1440"/>
      <c r="F91" s="1441"/>
      <c r="G91" s="1441"/>
      <c r="H91" s="1441"/>
      <c r="I91" s="1441"/>
      <c r="J91" s="1454"/>
      <c r="K91" s="1441"/>
      <c r="L91" s="1441"/>
    </row>
    <row r="92" spans="1:12">
      <c r="A92" s="1384"/>
      <c r="B92" s="1444" t="s">
        <v>1543</v>
      </c>
      <c r="C92" s="1444"/>
      <c r="D92" s="1441">
        <v>1326187.93</v>
      </c>
      <c r="E92" s="1444"/>
      <c r="F92" s="1441">
        <v>882907.82</v>
      </c>
      <c r="G92" s="1441"/>
      <c r="H92" s="1441"/>
      <c r="I92" s="1441"/>
      <c r="J92" s="1454">
        <v>882907.82</v>
      </c>
      <c r="K92" s="1441"/>
      <c r="L92" s="1441"/>
    </row>
    <row r="93" spans="1:12">
      <c r="A93" s="1384"/>
      <c r="B93" s="1444" t="s">
        <v>1873</v>
      </c>
      <c r="C93" s="1444"/>
      <c r="D93" s="1441">
        <v>223953.18</v>
      </c>
      <c r="E93" s="1444"/>
      <c r="F93" s="1458">
        <v>49134.59</v>
      </c>
      <c r="G93" s="1441"/>
      <c r="H93" s="1441"/>
      <c r="I93" s="1441"/>
      <c r="J93" s="1459">
        <v>49134.59</v>
      </c>
      <c r="K93" s="1441"/>
      <c r="L93" s="1441"/>
    </row>
    <row r="94" spans="1:12">
      <c r="A94" s="1384"/>
      <c r="B94" s="1444" t="s">
        <v>1544</v>
      </c>
      <c r="C94" s="1444"/>
      <c r="D94" s="1460">
        <v>1102234.75</v>
      </c>
      <c r="E94" s="1444"/>
      <c r="F94" s="1441">
        <v>833773.23</v>
      </c>
      <c r="G94" s="1441"/>
      <c r="H94" s="1460"/>
      <c r="I94" s="1441"/>
      <c r="J94" s="1454">
        <v>833773.23</v>
      </c>
      <c r="K94" s="1441"/>
      <c r="L94" s="1441"/>
    </row>
    <row r="95" spans="1:12">
      <c r="A95" s="1384"/>
      <c r="B95" s="1444" t="s">
        <v>1874</v>
      </c>
      <c r="C95" s="1444"/>
      <c r="D95" s="1441">
        <v>144764.96</v>
      </c>
      <c r="E95" s="1444"/>
      <c r="F95" s="1441">
        <v>109505.84</v>
      </c>
      <c r="G95" s="1441"/>
      <c r="H95" s="1441"/>
      <c r="I95" s="1441"/>
      <c r="J95" s="1454">
        <v>109505.84</v>
      </c>
      <c r="K95" s="1441"/>
      <c r="L95" s="1441"/>
    </row>
    <row r="96" spans="1:12" ht="13.5" thickBot="1">
      <c r="A96" s="1384"/>
      <c r="B96" s="1444" t="s">
        <v>1544</v>
      </c>
      <c r="C96" s="1444"/>
      <c r="D96" s="1455">
        <f>SUM(D94:D95)</f>
        <v>1246999.71</v>
      </c>
      <c r="E96" s="1456"/>
      <c r="F96" s="1455">
        <f>SUM(F94:F95)</f>
        <v>943279.07</v>
      </c>
      <c r="G96" s="1437"/>
      <c r="H96" s="1455">
        <f>H92-H95</f>
        <v>0</v>
      </c>
      <c r="I96" s="1437"/>
      <c r="J96" s="1457">
        <v>943279.07</v>
      </c>
      <c r="K96" s="1441"/>
      <c r="L96" s="1441"/>
    </row>
    <row r="97" spans="1:12" ht="13.5" thickTop="1">
      <c r="A97" s="1384"/>
      <c r="B97" s="1440"/>
      <c r="C97" s="1440"/>
      <c r="D97" s="1440"/>
      <c r="E97" s="1440"/>
      <c r="F97" s="1441"/>
      <c r="G97" s="1442"/>
      <c r="H97" s="1442"/>
      <c r="I97" s="1442"/>
      <c r="J97" s="1443"/>
      <c r="K97" s="1442"/>
      <c r="L97" s="1442"/>
    </row>
    <row r="98" spans="1:12" ht="76.5">
      <c r="A98" s="1384"/>
      <c r="B98" s="1414" t="s">
        <v>1545</v>
      </c>
      <c r="C98" s="1414"/>
      <c r="D98" s="1414"/>
      <c r="E98" s="1414"/>
      <c r="F98" s="1461"/>
      <c r="G98" s="1462"/>
      <c r="H98" s="1462"/>
      <c r="I98" s="1462"/>
      <c r="J98" s="1463"/>
      <c r="K98" s="1462"/>
      <c r="L98" s="1462"/>
    </row>
    <row r="99" spans="1:12">
      <c r="A99" s="1407"/>
      <c r="B99" s="1375"/>
      <c r="C99" s="1375"/>
      <c r="D99" s="1375"/>
      <c r="E99" s="1375"/>
      <c r="F99" s="1376"/>
      <c r="G99" s="1377"/>
      <c r="H99" s="1378"/>
      <c r="I99" s="1378"/>
      <c r="J99" s="1399"/>
      <c r="K99" s="1378"/>
      <c r="L99" s="1378"/>
    </row>
    <row r="100" spans="1:12">
      <c r="A100" s="1379"/>
      <c r="B100" s="1380"/>
      <c r="C100" s="1380"/>
      <c r="D100" s="1380"/>
      <c r="E100" s="1380"/>
      <c r="F100" s="1381"/>
      <c r="G100" s="1382"/>
      <c r="H100" s="1378"/>
      <c r="I100" s="1378"/>
      <c r="J100" s="1399"/>
      <c r="K100" s="1378"/>
      <c r="L100" s="1378"/>
    </row>
    <row r="101" spans="1:12">
      <c r="A101" s="1389" t="s">
        <v>481</v>
      </c>
      <c r="B101" s="33" t="s">
        <v>363</v>
      </c>
      <c r="C101" s="33"/>
      <c r="D101" s="1385" t="s">
        <v>2077</v>
      </c>
      <c r="E101" s="30"/>
      <c r="F101" s="1385" t="s">
        <v>1796</v>
      </c>
      <c r="G101" s="788"/>
      <c r="H101" s="788"/>
      <c r="I101" s="788"/>
      <c r="J101" s="1420"/>
      <c r="K101" s="788"/>
      <c r="L101" s="788"/>
    </row>
    <row r="102" spans="1:12">
      <c r="A102" s="1384"/>
      <c r="B102" s="1295"/>
      <c r="C102" s="1295"/>
      <c r="D102" s="1295"/>
      <c r="E102" s="1295"/>
      <c r="F102" s="1296"/>
      <c r="G102" s="1421"/>
      <c r="H102" s="1421"/>
      <c r="I102" s="1421"/>
      <c r="J102" s="1422"/>
      <c r="K102" s="1421"/>
      <c r="L102" s="1421"/>
    </row>
    <row r="103" spans="1:12">
      <c r="A103" s="1384"/>
      <c r="B103" s="1295" t="s">
        <v>1190</v>
      </c>
      <c r="C103" s="1295"/>
      <c r="D103" s="1295"/>
      <c r="E103" s="1295"/>
      <c r="F103" s="1296" t="s">
        <v>36</v>
      </c>
      <c r="G103" s="1421"/>
      <c r="H103" s="1421"/>
      <c r="I103" s="1421"/>
      <c r="J103" s="1422"/>
      <c r="K103" s="1421"/>
      <c r="L103" s="1421"/>
    </row>
    <row r="104" spans="1:12">
      <c r="A104" s="1384"/>
      <c r="B104" s="1295"/>
      <c r="C104" s="1295"/>
      <c r="D104" s="1295"/>
      <c r="E104" s="1295"/>
      <c r="F104" s="1296"/>
      <c r="G104" s="1421"/>
      <c r="H104" s="1421"/>
      <c r="I104" s="1421"/>
      <c r="J104" s="1422"/>
      <c r="K104" s="1421"/>
      <c r="L104" s="1421"/>
    </row>
    <row r="105" spans="1:12">
      <c r="A105" s="1384"/>
      <c r="B105" s="1295" t="s">
        <v>1190</v>
      </c>
      <c r="C105" s="1295"/>
      <c r="D105" s="1430">
        <v>2799762</v>
      </c>
      <c r="E105" s="1295"/>
      <c r="F105" s="1430">
        <v>1830953</v>
      </c>
      <c r="G105" s="1421"/>
      <c r="H105" s="1421"/>
      <c r="I105" s="1421"/>
      <c r="J105" s="1422"/>
      <c r="K105" s="1421"/>
      <c r="L105" s="1421"/>
    </row>
    <row r="106" spans="1:12">
      <c r="A106" s="1384"/>
      <c r="B106" s="1295" t="s">
        <v>711</v>
      </c>
      <c r="C106" s="1295"/>
      <c r="D106" s="1464">
        <v>408539.26</v>
      </c>
      <c r="E106" s="1295"/>
      <c r="F106" s="1464">
        <v>665485.49</v>
      </c>
      <c r="G106" s="1421"/>
      <c r="H106" s="1421"/>
      <c r="I106" s="1421"/>
      <c r="J106" s="1422"/>
      <c r="K106" s="1421"/>
      <c r="L106" s="1421"/>
    </row>
    <row r="107" spans="1:12">
      <c r="A107" s="1384"/>
      <c r="B107" s="1295" t="s">
        <v>364</v>
      </c>
      <c r="C107" s="1295"/>
      <c r="D107" s="1336">
        <v>55359.72</v>
      </c>
      <c r="E107" s="1295"/>
      <c r="F107" s="1431">
        <f>303322.78+1</f>
        <v>303323.78000000003</v>
      </c>
      <c r="G107" s="1421"/>
      <c r="H107" s="1421"/>
      <c r="I107" s="1421"/>
      <c r="J107" s="1422"/>
      <c r="K107" s="1421"/>
      <c r="L107" s="1421"/>
    </row>
    <row r="108" spans="1:12">
      <c r="A108" s="1384"/>
      <c r="B108" s="1465"/>
      <c r="C108" s="1465"/>
      <c r="D108" s="1465"/>
      <c r="E108" s="1465"/>
      <c r="F108" s="1466"/>
      <c r="G108" s="1467"/>
      <c r="H108" s="1467"/>
      <c r="I108" s="1467"/>
      <c r="J108" s="1468"/>
      <c r="K108" s="1467"/>
      <c r="L108" s="1467"/>
    </row>
    <row r="109" spans="1:12" ht="13.5" thickBot="1">
      <c r="A109" s="1384"/>
      <c r="B109" s="33" t="s">
        <v>365</v>
      </c>
      <c r="C109" s="33"/>
      <c r="D109" s="1429">
        <f>SUM(D103:D108)</f>
        <v>3263660.98</v>
      </c>
      <c r="E109" s="1469"/>
      <c r="F109" s="1429">
        <f>SUM(F103:F108)</f>
        <v>2799762.2700000005</v>
      </c>
      <c r="G109" s="788"/>
      <c r="H109" s="788"/>
      <c r="I109" s="788"/>
      <c r="J109" s="1420"/>
      <c r="K109" s="788"/>
      <c r="L109" s="788"/>
    </row>
    <row r="110" spans="1:12" ht="13.5" thickTop="1">
      <c r="A110" s="1384"/>
      <c r="B110" s="33"/>
      <c r="C110" s="33"/>
      <c r="D110" s="33"/>
      <c r="E110" s="33"/>
      <c r="F110" s="38"/>
      <c r="G110" s="788"/>
      <c r="H110" s="788"/>
      <c r="I110" s="788"/>
      <c r="J110" s="1420"/>
      <c r="K110" s="788"/>
      <c r="L110" s="788"/>
    </row>
    <row r="111" spans="1:12">
      <c r="A111" s="1384"/>
      <c r="B111" s="1295"/>
      <c r="C111" s="1295"/>
      <c r="D111" s="1295"/>
      <c r="E111" s="1295"/>
      <c r="F111" s="1296"/>
      <c r="G111" s="1421"/>
      <c r="H111" s="1421"/>
      <c r="I111" s="1421"/>
      <c r="J111" s="1422"/>
      <c r="K111" s="1421"/>
      <c r="L111" s="1421"/>
    </row>
    <row r="112" spans="1:12">
      <c r="A112" s="1384"/>
      <c r="B112" s="33"/>
      <c r="C112" s="33"/>
      <c r="D112" s="33"/>
      <c r="E112" s="33"/>
      <c r="F112" s="38"/>
      <c r="G112" s="788"/>
      <c r="H112" s="788"/>
      <c r="I112" s="788"/>
      <c r="J112" s="1420"/>
      <c r="K112" s="788"/>
      <c r="L112" s="788"/>
    </row>
    <row r="113" spans="1:14" s="32" customFormat="1">
      <c r="A113" s="1384"/>
      <c r="B113" s="33" t="s">
        <v>1853</v>
      </c>
      <c r="C113" s="33"/>
      <c r="D113" s="36">
        <f>71320+5000+452031+808270</f>
        <v>1336621</v>
      </c>
      <c r="E113" s="33"/>
      <c r="F113" s="36">
        <v>1175630</v>
      </c>
      <c r="G113" s="788"/>
      <c r="H113" s="788"/>
      <c r="I113" s="788"/>
      <c r="J113" s="1420"/>
      <c r="K113" s="788"/>
      <c r="L113" s="788"/>
      <c r="M113" s="1393"/>
      <c r="N113" s="1393"/>
    </row>
    <row r="114" spans="1:14">
      <c r="A114" s="1407"/>
      <c r="B114" s="1375"/>
      <c r="C114" s="1375"/>
      <c r="D114" s="1375"/>
      <c r="E114" s="1375"/>
      <c r="F114" s="1376"/>
      <c r="G114" s="1377"/>
      <c r="H114" s="1377"/>
      <c r="I114" s="1377"/>
      <c r="J114" s="1408"/>
      <c r="K114" s="1378"/>
      <c r="L114" s="1378"/>
    </row>
    <row r="115" spans="1:14">
      <c r="A115" s="1384"/>
      <c r="B115" s="1290"/>
      <c r="C115" s="1290"/>
      <c r="D115" s="1290"/>
      <c r="E115" s="1290"/>
      <c r="F115" s="1318"/>
      <c r="G115" s="1378"/>
      <c r="H115" s="1378"/>
      <c r="I115" s="1378"/>
      <c r="J115" s="1399"/>
      <c r="K115" s="1378"/>
      <c r="L115" s="1378"/>
    </row>
    <row r="116" spans="1:14">
      <c r="A116" s="1389" t="s">
        <v>482</v>
      </c>
      <c r="B116" s="74" t="s">
        <v>2215</v>
      </c>
      <c r="C116" s="33"/>
      <c r="D116" s="1385" t="s">
        <v>2077</v>
      </c>
      <c r="E116" s="30"/>
      <c r="F116" s="1385" t="s">
        <v>1796</v>
      </c>
      <c r="G116" s="788"/>
      <c r="H116" s="788"/>
      <c r="I116" s="788"/>
      <c r="J116" s="1420"/>
      <c r="K116" s="788"/>
      <c r="L116" s="788"/>
    </row>
    <row r="117" spans="1:14">
      <c r="A117" s="1389"/>
      <c r="B117" s="33"/>
      <c r="C117" s="33"/>
      <c r="D117" s="33"/>
      <c r="E117" s="33"/>
      <c r="F117" s="38"/>
      <c r="G117" s="788"/>
      <c r="H117" s="788"/>
      <c r="I117" s="788"/>
      <c r="J117" s="1420"/>
      <c r="K117" s="788"/>
      <c r="L117" s="788"/>
    </row>
    <row r="118" spans="1:14">
      <c r="A118" s="1384"/>
      <c r="B118" s="33"/>
      <c r="C118" s="33"/>
      <c r="D118" s="33"/>
      <c r="E118" s="33"/>
      <c r="F118" s="1390"/>
      <c r="G118" s="788"/>
      <c r="H118" s="788"/>
      <c r="I118" s="788"/>
      <c r="J118" s="1420"/>
      <c r="K118" s="788"/>
      <c r="L118" s="788"/>
    </row>
    <row r="119" spans="1:14">
      <c r="A119" s="1384"/>
      <c r="B119" s="1295" t="s">
        <v>554</v>
      </c>
      <c r="C119" s="1295"/>
      <c r="D119" s="1470">
        <f>F124</f>
        <v>-1668102.83</v>
      </c>
      <c r="E119" s="1295"/>
      <c r="F119" s="1296">
        <v>-1435292</v>
      </c>
      <c r="G119" s="1421"/>
      <c r="H119" s="1421"/>
      <c r="I119" s="1421"/>
      <c r="J119" s="1422"/>
      <c r="K119" s="1421"/>
      <c r="L119" s="1421"/>
    </row>
    <row r="120" spans="1:14">
      <c r="A120" s="1384"/>
      <c r="B120" s="1575" t="s">
        <v>2896</v>
      </c>
      <c r="C120" s="1295"/>
      <c r="D120" s="1470">
        <v>0</v>
      </c>
      <c r="E120" s="1295"/>
      <c r="F120" s="1296"/>
      <c r="G120" s="1421"/>
      <c r="H120" s="1421"/>
      <c r="I120" s="1421"/>
      <c r="J120" s="1422"/>
      <c r="K120" s="1421"/>
      <c r="L120" s="1421"/>
    </row>
    <row r="121" spans="1:14">
      <c r="A121" s="1384"/>
      <c r="B121" s="1358" t="s">
        <v>2203</v>
      </c>
      <c r="C121" s="1295"/>
      <c r="D121" s="1470">
        <v>-419890.57</v>
      </c>
      <c r="E121" s="1295"/>
      <c r="F121" s="1296">
        <f>-412319+179508.17</f>
        <v>-232810.83</v>
      </c>
      <c r="G121" s="1421"/>
      <c r="H121" s="1421"/>
      <c r="I121" s="1421"/>
      <c r="J121" s="1422"/>
      <c r="K121" s="1421"/>
      <c r="L121" s="1421"/>
    </row>
    <row r="122" spans="1:14">
      <c r="A122" s="1384"/>
      <c r="B122" s="1358" t="s">
        <v>2204</v>
      </c>
      <c r="C122" s="1295"/>
      <c r="D122" s="1470">
        <v>0</v>
      </c>
      <c r="E122" s="1295"/>
      <c r="F122" s="1296">
        <v>0</v>
      </c>
      <c r="G122" s="1421"/>
      <c r="H122" s="1421"/>
      <c r="I122" s="1421"/>
      <c r="J122" s="1422"/>
      <c r="K122" s="1421"/>
      <c r="L122" s="1421"/>
    </row>
    <row r="123" spans="1:14">
      <c r="A123" s="1384"/>
      <c r="B123" s="1358"/>
      <c r="C123" s="1295"/>
      <c r="D123" s="1470"/>
      <c r="E123" s="1295"/>
      <c r="F123" s="1296"/>
      <c r="G123" s="1421"/>
      <c r="H123" s="1421"/>
      <c r="I123" s="1421"/>
      <c r="J123" s="1422"/>
      <c r="K123" s="1421"/>
      <c r="L123" s="1421"/>
    </row>
    <row r="124" spans="1:14" ht="13.5" thickBot="1">
      <c r="A124" s="1384"/>
      <c r="B124" s="74" t="s">
        <v>2205</v>
      </c>
      <c r="C124" s="1295"/>
      <c r="D124" s="1429">
        <f>SUM(D119:D123)</f>
        <v>-2087993.4000000001</v>
      </c>
      <c r="E124" s="1469"/>
      <c r="F124" s="1429">
        <f>SUM(F119:F123)</f>
        <v>-1668102.83</v>
      </c>
      <c r="G124" s="1421"/>
      <c r="H124" s="1421"/>
      <c r="I124" s="1421"/>
      <c r="J124" s="1422"/>
      <c r="K124" s="1421"/>
      <c r="L124" s="1421"/>
    </row>
    <row r="125" spans="1:14" ht="13.5" thickTop="1">
      <c r="A125" s="1384"/>
      <c r="B125" s="1358"/>
      <c r="C125" s="1295"/>
      <c r="D125" s="1470"/>
      <c r="E125" s="1295"/>
      <c r="F125" s="1296"/>
      <c r="G125" s="1421"/>
      <c r="H125" s="1421"/>
      <c r="I125" s="1421"/>
      <c r="J125" s="1422"/>
      <c r="K125" s="1421"/>
      <c r="L125" s="1421"/>
    </row>
    <row r="126" spans="1:14">
      <c r="A126" s="1384"/>
      <c r="B126" s="1358" t="s">
        <v>2206</v>
      </c>
      <c r="C126" s="1295"/>
      <c r="D126" s="1470"/>
      <c r="E126" s="1295"/>
      <c r="F126" s="1296"/>
      <c r="G126" s="1421"/>
      <c r="H126" s="1421"/>
      <c r="I126" s="1421"/>
      <c r="J126" s="1422"/>
      <c r="K126" s="1421"/>
      <c r="L126" s="1421"/>
    </row>
    <row r="127" spans="1:14">
      <c r="A127" s="1384"/>
      <c r="B127" s="1358"/>
      <c r="C127" s="1295"/>
      <c r="D127" s="1470"/>
      <c r="E127" s="1295"/>
      <c r="F127" s="1296"/>
      <c r="G127" s="1421"/>
      <c r="H127" s="1421"/>
      <c r="I127" s="1421"/>
      <c r="J127" s="1422"/>
      <c r="K127" s="1421"/>
      <c r="L127" s="1421"/>
    </row>
    <row r="128" spans="1:14">
      <c r="A128" s="1384"/>
      <c r="B128" s="74" t="s">
        <v>2207</v>
      </c>
      <c r="C128" s="1295"/>
      <c r="D128" s="1470"/>
      <c r="E128" s="1295"/>
      <c r="F128" s="1296"/>
      <c r="G128" s="1421"/>
      <c r="H128" s="1421"/>
      <c r="I128" s="1421"/>
      <c r="J128" s="1422"/>
      <c r="K128" s="1421"/>
      <c r="L128" s="1421"/>
    </row>
    <row r="129" spans="1:12">
      <c r="A129" s="1384"/>
      <c r="B129" s="74" t="s">
        <v>2208</v>
      </c>
      <c r="C129" s="1295"/>
      <c r="D129" s="1470">
        <v>-1668103</v>
      </c>
      <c r="E129" s="1295"/>
      <c r="F129" s="1296">
        <v>-1255784.1599999999</v>
      </c>
      <c r="G129" s="1421"/>
      <c r="H129" s="1421"/>
      <c r="I129" s="1421"/>
      <c r="J129" s="1422"/>
      <c r="K129" s="1421"/>
      <c r="L129" s="1421"/>
    </row>
    <row r="130" spans="1:12">
      <c r="A130" s="1384"/>
      <c r="B130" s="1358" t="s">
        <v>2209</v>
      </c>
      <c r="C130" s="1295"/>
      <c r="D130" s="1576">
        <v>-419890.57</v>
      </c>
      <c r="E130" s="1295"/>
      <c r="F130" s="1296">
        <v>-412319</v>
      </c>
      <c r="G130" s="1421"/>
      <c r="H130" s="1421"/>
      <c r="I130" s="1421"/>
      <c r="J130" s="1422"/>
      <c r="K130" s="1421"/>
      <c r="L130" s="1421"/>
    </row>
    <row r="131" spans="1:12">
      <c r="A131" s="1384"/>
      <c r="B131" s="1358" t="s">
        <v>2210</v>
      </c>
      <c r="C131" s="1295"/>
      <c r="D131" s="1470"/>
      <c r="E131" s="1295"/>
      <c r="F131" s="1296"/>
      <c r="G131" s="1421"/>
      <c r="H131" s="1421"/>
      <c r="I131" s="1421"/>
      <c r="J131" s="1422"/>
      <c r="K131" s="1421"/>
      <c r="L131" s="1421"/>
    </row>
    <row r="132" spans="1:12">
      <c r="A132" s="1384"/>
      <c r="B132" s="1358" t="s">
        <v>2211</v>
      </c>
      <c r="C132" s="1295"/>
      <c r="D132" s="1470"/>
      <c r="E132" s="1295"/>
      <c r="F132" s="1296"/>
      <c r="G132" s="1421"/>
      <c r="H132" s="1421"/>
      <c r="I132" s="1421"/>
      <c r="J132" s="1422"/>
      <c r="K132" s="1421"/>
      <c r="L132" s="1421"/>
    </row>
    <row r="133" spans="1:12">
      <c r="A133" s="1384"/>
      <c r="B133" s="1358" t="s">
        <v>2212</v>
      </c>
      <c r="C133" s="1295"/>
      <c r="D133" s="1470"/>
      <c r="E133" s="1295"/>
      <c r="F133" s="1296"/>
      <c r="G133" s="1421"/>
      <c r="H133" s="1421"/>
      <c r="I133" s="1421"/>
      <c r="J133" s="1422"/>
      <c r="K133" s="1421"/>
      <c r="L133" s="1421"/>
    </row>
    <row r="134" spans="1:12" ht="13.5" thickBot="1">
      <c r="A134" s="1384"/>
      <c r="B134" s="74" t="s">
        <v>2213</v>
      </c>
      <c r="C134" s="1295"/>
      <c r="D134" s="1426">
        <f>SUM(D129:D133)</f>
        <v>-2087993.57</v>
      </c>
      <c r="E134" s="1469"/>
      <c r="F134" s="1429">
        <f>SUM(F129:F133)</f>
        <v>-1668103.16</v>
      </c>
      <c r="G134" s="1421"/>
      <c r="H134" s="1421"/>
      <c r="I134" s="1421"/>
      <c r="J134" s="1422"/>
      <c r="K134" s="1421"/>
      <c r="L134" s="1421"/>
    </row>
    <row r="135" spans="1:12" ht="13.5" thickTop="1">
      <c r="A135" s="1384"/>
      <c r="B135" s="1358"/>
      <c r="C135" s="1295"/>
      <c r="D135" s="1470"/>
      <c r="E135" s="1295"/>
      <c r="F135" s="1296"/>
      <c r="G135" s="1421"/>
      <c r="H135" s="1421"/>
      <c r="I135" s="1421"/>
      <c r="J135" s="1422"/>
      <c r="K135" s="1421"/>
      <c r="L135" s="1421"/>
    </row>
    <row r="136" spans="1:12">
      <c r="A136" s="1384"/>
      <c r="B136" s="1358" t="s">
        <v>2214</v>
      </c>
      <c r="C136" s="1295"/>
      <c r="D136" s="1470"/>
      <c r="E136" s="1295"/>
      <c r="F136" s="1296"/>
      <c r="G136" s="1421"/>
      <c r="H136" s="1421"/>
      <c r="I136" s="1421"/>
      <c r="J136" s="1422"/>
      <c r="K136" s="1421"/>
      <c r="L136" s="1421"/>
    </row>
    <row r="137" spans="1:12">
      <c r="A137" s="1384"/>
      <c r="B137" s="74" t="s">
        <v>2208</v>
      </c>
      <c r="C137" s="1295"/>
      <c r="D137" s="1470">
        <v>0</v>
      </c>
      <c r="E137" s="1295"/>
      <c r="F137" s="1296">
        <v>0</v>
      </c>
      <c r="G137" s="1421"/>
      <c r="H137" s="1421"/>
      <c r="I137" s="1421"/>
      <c r="J137" s="1422"/>
      <c r="K137" s="1421"/>
      <c r="L137" s="1421"/>
    </row>
    <row r="138" spans="1:12">
      <c r="A138" s="1384"/>
      <c r="B138" s="1358" t="s">
        <v>2209</v>
      </c>
      <c r="C138" s="1295"/>
      <c r="D138" s="1470"/>
      <c r="E138" s="1295"/>
      <c r="F138" s="1296"/>
      <c r="G138" s="1421"/>
      <c r="H138" s="1421"/>
      <c r="I138" s="1421"/>
      <c r="J138" s="1422"/>
      <c r="K138" s="1421"/>
      <c r="L138" s="1421"/>
    </row>
    <row r="139" spans="1:12">
      <c r="A139" s="1384"/>
      <c r="B139" s="1358" t="s">
        <v>2210</v>
      </c>
      <c r="C139" s="1295"/>
      <c r="D139" s="1470">
        <v>0</v>
      </c>
      <c r="E139" s="1295"/>
      <c r="F139" s="1296"/>
      <c r="G139" s="1421"/>
      <c r="H139" s="1421"/>
      <c r="I139" s="1421"/>
      <c r="J139" s="1422"/>
      <c r="K139" s="1421"/>
      <c r="L139" s="1421"/>
    </row>
    <row r="140" spans="1:12">
      <c r="A140" s="1384"/>
      <c r="B140" s="1358" t="s">
        <v>2211</v>
      </c>
      <c r="C140" s="1295"/>
      <c r="D140" s="1470">
        <v>0</v>
      </c>
      <c r="E140" s="1295"/>
      <c r="F140" s="1296">
        <v>0</v>
      </c>
      <c r="G140" s="1421"/>
      <c r="H140" s="1421"/>
      <c r="I140" s="1421"/>
      <c r="J140" s="1422"/>
      <c r="K140" s="1421"/>
      <c r="L140" s="1421"/>
    </row>
    <row r="141" spans="1:12">
      <c r="A141" s="1384"/>
      <c r="B141" s="1358" t="s">
        <v>2212</v>
      </c>
      <c r="C141" s="1295"/>
      <c r="D141" s="1470"/>
      <c r="E141" s="1295"/>
      <c r="F141" s="1296"/>
      <c r="G141" s="1421"/>
      <c r="H141" s="1421"/>
      <c r="I141" s="1421"/>
      <c r="J141" s="1422"/>
      <c r="K141" s="1421"/>
      <c r="L141" s="1421"/>
    </row>
    <row r="142" spans="1:12" ht="13.5" thickBot="1">
      <c r="A142" s="1384"/>
      <c r="B142" s="74" t="s">
        <v>2213</v>
      </c>
      <c r="C142" s="1295"/>
      <c r="D142" s="1426">
        <f>SUM(D137:D141)</f>
        <v>0</v>
      </c>
      <c r="E142" s="1471"/>
      <c r="F142" s="1472">
        <f>SUM(F137:F141)</f>
        <v>0</v>
      </c>
      <c r="G142" s="1421"/>
      <c r="H142" s="1421"/>
      <c r="I142" s="1421"/>
      <c r="J142" s="1422"/>
      <c r="K142" s="1421"/>
      <c r="L142" s="1421"/>
    </row>
    <row r="143" spans="1:12" ht="13.5" thickTop="1">
      <c r="A143" s="1384"/>
      <c r="B143" s="1295"/>
      <c r="C143" s="1295"/>
      <c r="D143" s="1470"/>
      <c r="E143" s="1295"/>
      <c r="F143" s="1296"/>
      <c r="G143" s="1421"/>
      <c r="H143" s="1421"/>
      <c r="I143" s="1421"/>
      <c r="J143" s="1422"/>
      <c r="K143" s="1421"/>
      <c r="L143" s="1421"/>
    </row>
    <row r="144" spans="1:12">
      <c r="A144" s="1384"/>
      <c r="B144" s="1290"/>
      <c r="C144" s="1290"/>
      <c r="D144" s="1390"/>
      <c r="E144" s="1290"/>
      <c r="F144" s="1390"/>
      <c r="G144" s="1378"/>
      <c r="H144" s="1378"/>
      <c r="I144" s="1378"/>
      <c r="J144" s="1399"/>
      <c r="K144" s="1378"/>
      <c r="L144" s="1378"/>
    </row>
    <row r="145" spans="1:12">
      <c r="A145" s="1389" t="s">
        <v>2221</v>
      </c>
      <c r="B145" s="74" t="s">
        <v>553</v>
      </c>
      <c r="C145" s="1358"/>
      <c r="D145" s="1385" t="s">
        <v>2077</v>
      </c>
      <c r="E145" s="30"/>
      <c r="F145" s="1385" t="s">
        <v>1796</v>
      </c>
      <c r="G145" s="1378"/>
      <c r="H145" s="1378"/>
      <c r="I145" s="1378"/>
      <c r="J145" s="1399"/>
      <c r="K145" s="1378"/>
      <c r="L145" s="1378"/>
    </row>
    <row r="146" spans="1:12">
      <c r="A146" s="1384"/>
      <c r="B146" s="74"/>
      <c r="C146" s="1358"/>
      <c r="D146" s="1473"/>
      <c r="E146" s="1473"/>
      <c r="F146" s="1390"/>
      <c r="G146" s="1378"/>
      <c r="H146" s="1378"/>
      <c r="I146" s="1378"/>
      <c r="J146" s="1399"/>
      <c r="K146" s="1378"/>
      <c r="L146" s="1378"/>
    </row>
    <row r="147" spans="1:12">
      <c r="A147" s="1384"/>
      <c r="B147" s="1358" t="s">
        <v>2216</v>
      </c>
      <c r="C147" s="1358"/>
      <c r="D147" s="1474">
        <v>0</v>
      </c>
      <c r="E147" s="1474"/>
      <c r="F147" s="1474">
        <v>0</v>
      </c>
      <c r="G147" s="1378"/>
      <c r="H147" s="1378"/>
      <c r="I147" s="1378"/>
      <c r="J147" s="1399"/>
      <c r="K147" s="1378"/>
      <c r="L147" s="1378"/>
    </row>
    <row r="148" spans="1:12">
      <c r="A148" s="1384"/>
      <c r="B148" s="1358" t="s">
        <v>2823</v>
      </c>
      <c r="C148" s="1358"/>
      <c r="D148" s="1474">
        <v>0</v>
      </c>
      <c r="E148" s="1474"/>
      <c r="F148" s="1474">
        <v>0</v>
      </c>
      <c r="G148" s="1378"/>
      <c r="H148" s="1378"/>
      <c r="I148" s="1378"/>
      <c r="J148" s="1399"/>
      <c r="K148" s="1378"/>
      <c r="L148" s="1378"/>
    </row>
    <row r="149" spans="1:12">
      <c r="A149" s="1384"/>
      <c r="B149" s="1358" t="s">
        <v>2217</v>
      </c>
      <c r="C149" s="1358"/>
      <c r="D149" s="1474">
        <v>0</v>
      </c>
      <c r="E149" s="1474"/>
      <c r="F149" s="1474">
        <v>0</v>
      </c>
      <c r="G149" s="1378"/>
      <c r="H149" s="1378"/>
      <c r="I149" s="1378"/>
      <c r="J149" s="1399"/>
      <c r="K149" s="1378"/>
      <c r="L149" s="1378"/>
    </row>
    <row r="150" spans="1:12">
      <c r="A150" s="1384"/>
      <c r="B150" s="1358" t="s">
        <v>2218</v>
      </c>
      <c r="C150" s="1358"/>
      <c r="D150" s="1474">
        <v>0</v>
      </c>
      <c r="E150" s="1474"/>
      <c r="F150" s="1474">
        <v>0</v>
      </c>
      <c r="G150" s="1378"/>
      <c r="H150" s="1378"/>
      <c r="I150" s="1378"/>
      <c r="J150" s="1399"/>
      <c r="K150" s="1378"/>
      <c r="L150" s="1378"/>
    </row>
    <row r="151" spans="1:12" ht="13.5" thickBot="1">
      <c r="A151" s="1384"/>
      <c r="B151" s="74" t="s">
        <v>2219</v>
      </c>
      <c r="C151" s="74"/>
      <c r="D151" s="1475">
        <f>SUM(D147:D150)</f>
        <v>0</v>
      </c>
      <c r="E151" s="1475"/>
      <c r="F151" s="1475">
        <f>SUM(F147:F150)</f>
        <v>0</v>
      </c>
      <c r="G151" s="1378"/>
      <c r="H151" s="1378"/>
      <c r="I151" s="1378"/>
      <c r="J151" s="1399"/>
      <c r="K151" s="1378"/>
      <c r="L151" s="1378"/>
    </row>
    <row r="152" spans="1:12" ht="13.5" thickTop="1">
      <c r="A152" s="1384"/>
      <c r="B152" s="1358"/>
      <c r="C152" s="1358"/>
      <c r="D152" s="1473"/>
      <c r="E152" s="1473"/>
      <c r="F152" s="1390"/>
      <c r="G152" s="1378"/>
      <c r="H152" s="1378"/>
      <c r="I152" s="1378"/>
      <c r="J152" s="1399"/>
      <c r="K152" s="1378"/>
      <c r="L152" s="1378"/>
    </row>
    <row r="153" spans="1:12">
      <c r="A153" s="1384"/>
      <c r="B153" s="1358"/>
      <c r="C153" s="1358"/>
      <c r="D153" s="1473"/>
      <c r="E153" s="1473"/>
      <c r="F153" s="1390"/>
      <c r="G153" s="1378"/>
      <c r="H153" s="1378"/>
      <c r="I153" s="1378"/>
      <c r="J153" s="1399"/>
      <c r="K153" s="1378"/>
      <c r="L153" s="1378"/>
    </row>
    <row r="154" spans="1:12">
      <c r="A154" s="1384"/>
      <c r="B154" s="1476" t="s">
        <v>2220</v>
      </c>
      <c r="C154" s="1358"/>
      <c r="D154" s="1477" t="s">
        <v>2218</v>
      </c>
      <c r="E154" s="1477"/>
      <c r="F154" s="1477"/>
      <c r="G154" s="1378"/>
      <c r="H154" s="1378"/>
      <c r="I154" s="1378"/>
      <c r="J154" s="1399"/>
      <c r="K154" s="1378"/>
      <c r="L154" s="1378"/>
    </row>
    <row r="155" spans="1:12">
      <c r="A155" s="1384"/>
      <c r="B155" s="1478"/>
      <c r="C155" s="1358"/>
      <c r="D155" s="1474"/>
      <c r="E155" s="1474"/>
      <c r="F155" s="1474"/>
      <c r="G155" s="1378"/>
      <c r="H155" s="1378"/>
      <c r="I155" s="1378"/>
      <c r="J155" s="1399"/>
      <c r="K155" s="1378"/>
      <c r="L155" s="1378"/>
    </row>
    <row r="156" spans="1:12">
      <c r="A156" s="1384"/>
      <c r="B156" s="74" t="s">
        <v>2222</v>
      </c>
      <c r="C156" s="1358"/>
      <c r="D156" s="1474">
        <v>0</v>
      </c>
      <c r="E156" s="1474"/>
      <c r="F156" s="1474"/>
      <c r="G156" s="1378"/>
      <c r="H156" s="1378"/>
      <c r="I156" s="1378"/>
      <c r="J156" s="1399"/>
      <c r="K156" s="1378"/>
      <c r="L156" s="1378"/>
    </row>
    <row r="157" spans="1:12">
      <c r="A157" s="1384"/>
      <c r="B157" s="1358" t="s">
        <v>2209</v>
      </c>
      <c r="C157" s="1358"/>
      <c r="D157" s="1474">
        <v>0</v>
      </c>
      <c r="E157" s="1474"/>
      <c r="F157" s="1474"/>
      <c r="G157" s="1378"/>
      <c r="H157" s="1378"/>
      <c r="I157" s="1378"/>
      <c r="J157" s="1399"/>
      <c r="K157" s="1378"/>
      <c r="L157" s="1378"/>
    </row>
    <row r="158" spans="1:12">
      <c r="A158" s="1384"/>
      <c r="B158" s="1358" t="s">
        <v>555</v>
      </c>
      <c r="C158" s="1358"/>
      <c r="D158" s="1474">
        <v>0</v>
      </c>
      <c r="E158" s="1474"/>
      <c r="F158" s="1474"/>
      <c r="G158" s="1378"/>
      <c r="H158" s="1378"/>
      <c r="I158" s="1378"/>
      <c r="J158" s="1399"/>
      <c r="K158" s="1378"/>
      <c r="L158" s="1378"/>
    </row>
    <row r="159" spans="1:12" ht="13.5" thickBot="1">
      <c r="A159" s="1384"/>
      <c r="B159" s="74" t="s">
        <v>2101</v>
      </c>
      <c r="C159" s="1358"/>
      <c r="D159" s="1479">
        <f>SUM(D156:D158)</f>
        <v>0</v>
      </c>
      <c r="E159" s="1479"/>
      <c r="F159" s="1479"/>
      <c r="G159" s="1378"/>
      <c r="H159" s="1378"/>
      <c r="I159" s="1378"/>
      <c r="J159" s="1399"/>
      <c r="K159" s="1378"/>
      <c r="L159" s="1378"/>
    </row>
    <row r="160" spans="1:12" ht="13.5" thickTop="1">
      <c r="A160" s="1384"/>
      <c r="B160" s="1358"/>
      <c r="C160" s="1358"/>
      <c r="D160" s="1474"/>
      <c r="E160" s="1474"/>
      <c r="F160" s="1474"/>
      <c r="G160" s="1378"/>
      <c r="H160" s="1378"/>
      <c r="I160" s="1378"/>
      <c r="J160" s="1399"/>
      <c r="K160" s="1378"/>
      <c r="L160" s="1378"/>
    </row>
    <row r="161" spans="1:14">
      <c r="A161" s="1384"/>
      <c r="B161" s="1478"/>
      <c r="C161" s="1358"/>
      <c r="D161" s="1473"/>
      <c r="E161" s="1473"/>
      <c r="F161" s="1473"/>
      <c r="G161" s="1378"/>
      <c r="H161" s="1378"/>
      <c r="I161" s="1378"/>
      <c r="J161" s="1399"/>
      <c r="K161" s="1378"/>
      <c r="L161" s="1378"/>
    </row>
    <row r="162" spans="1:14">
      <c r="A162" s="1384"/>
      <c r="B162" s="1358"/>
      <c r="C162" s="1358"/>
      <c r="D162" s="1473"/>
      <c r="E162" s="1473"/>
      <c r="F162" s="1390"/>
      <c r="G162" s="1378"/>
      <c r="H162" s="1378"/>
      <c r="I162" s="1378"/>
      <c r="J162" s="1399"/>
      <c r="K162" s="1378"/>
      <c r="L162" s="1378"/>
    </row>
    <row r="163" spans="1:14">
      <c r="A163" s="1384"/>
      <c r="B163" s="1290"/>
      <c r="C163" s="1290"/>
      <c r="D163" s="1390"/>
      <c r="E163" s="1290"/>
      <c r="F163" s="1390"/>
      <c r="G163" s="1378"/>
      <c r="H163" s="1378"/>
      <c r="I163" s="1378"/>
      <c r="J163" s="1399"/>
      <c r="K163" s="1378"/>
      <c r="L163" s="1378"/>
    </row>
    <row r="164" spans="1:14">
      <c r="A164" s="1407"/>
      <c r="B164" s="1375"/>
      <c r="C164" s="1375"/>
      <c r="D164" s="1375"/>
      <c r="E164" s="1375"/>
      <c r="F164" s="1376"/>
      <c r="G164" s="1377"/>
      <c r="H164" s="1378"/>
      <c r="I164" s="1378"/>
      <c r="J164" s="1399"/>
      <c r="K164" s="1378"/>
      <c r="L164" s="1378"/>
    </row>
    <row r="165" spans="1:14">
      <c r="A165" s="1384"/>
      <c r="B165" s="1290"/>
      <c r="C165" s="1290"/>
      <c r="D165" s="1290"/>
      <c r="E165" s="1290"/>
      <c r="F165" s="1318"/>
      <c r="G165" s="1378"/>
      <c r="H165" s="1378"/>
      <c r="I165" s="1378"/>
      <c r="J165" s="1399"/>
      <c r="K165" s="1378"/>
      <c r="L165" s="1378"/>
    </row>
    <row r="166" spans="1:14">
      <c r="A166" s="1389" t="s">
        <v>483</v>
      </c>
      <c r="B166" s="33" t="s">
        <v>1325</v>
      </c>
      <c r="C166" s="33"/>
      <c r="D166" s="1385" t="s">
        <v>2077</v>
      </c>
      <c r="E166" s="30"/>
      <c r="F166" s="1385" t="s">
        <v>1796</v>
      </c>
      <c r="G166" s="788"/>
      <c r="H166" s="788"/>
      <c r="I166" s="788"/>
      <c r="J166" s="1420"/>
      <c r="K166" s="788"/>
      <c r="L166" s="788"/>
    </row>
    <row r="167" spans="1:14">
      <c r="A167" s="1389"/>
      <c r="B167" s="33"/>
      <c r="C167" s="33"/>
      <c r="D167" s="33"/>
      <c r="E167" s="33"/>
      <c r="F167" s="38"/>
      <c r="G167" s="788"/>
      <c r="H167" s="788"/>
      <c r="I167" s="788"/>
      <c r="J167" s="1420"/>
      <c r="K167" s="788"/>
      <c r="L167" s="788"/>
    </row>
    <row r="168" spans="1:14">
      <c r="A168" s="1384"/>
      <c r="B168" s="1295" t="s">
        <v>530</v>
      </c>
      <c r="C168" s="1295"/>
      <c r="D168" s="1624">
        <f>-SUM('main TB'!R56)</f>
        <v>943304.10000000009</v>
      </c>
      <c r="E168" s="1295"/>
      <c r="F168" s="1398">
        <f>-SUM('main TB'!O56)</f>
        <v>1934062.66</v>
      </c>
      <c r="G168" s="1421"/>
      <c r="H168" s="1421"/>
      <c r="I168" s="1421"/>
      <c r="J168" s="1422"/>
      <c r="K168" s="1421"/>
      <c r="L168" s="1421"/>
    </row>
    <row r="169" spans="1:14" ht="12.75" customHeight="1">
      <c r="A169" s="1384"/>
      <c r="B169" s="1295" t="s">
        <v>1465</v>
      </c>
      <c r="C169" s="1295"/>
      <c r="D169" s="1623">
        <f>-SUM('main TB'!R58)</f>
        <v>1162537.05</v>
      </c>
      <c r="E169" s="1295"/>
      <c r="F169" s="1415">
        <f>-SUM('main TB'!O58)</f>
        <v>1246321.2</v>
      </c>
      <c r="G169" s="1421"/>
      <c r="H169" s="1421"/>
      <c r="I169" s="1421"/>
      <c r="J169" s="1422"/>
      <c r="K169" s="1421"/>
      <c r="L169" s="1421"/>
    </row>
    <row r="170" spans="1:14">
      <c r="A170" s="1384"/>
      <c r="B170" s="1480" t="s">
        <v>659</v>
      </c>
      <c r="C170" s="1480"/>
      <c r="D170" s="1623">
        <f>-'main TB'!R79</f>
        <v>255992.6</v>
      </c>
      <c r="E170" s="1480"/>
      <c r="F170" s="1415">
        <f>-'main TB'!O79</f>
        <v>333757</v>
      </c>
      <c r="G170" s="1481"/>
      <c r="H170" s="1481"/>
      <c r="I170" s="1481"/>
      <c r="J170" s="1482"/>
      <c r="K170" s="1481"/>
      <c r="L170" s="1481"/>
    </row>
    <row r="171" spans="1:14">
      <c r="A171" s="1384"/>
      <c r="B171" s="1565" t="s">
        <v>2889</v>
      </c>
      <c r="C171" s="1480"/>
      <c r="D171" s="1623">
        <f>-SUM('main TB'!R57)</f>
        <v>32704637.760000002</v>
      </c>
      <c r="E171" s="1480"/>
      <c r="F171" s="1415">
        <f>-SUM('main TB'!O57)</f>
        <v>24274625.640000001</v>
      </c>
      <c r="G171" s="1481"/>
      <c r="H171" s="1481"/>
      <c r="I171" s="1481"/>
      <c r="J171" s="1482"/>
      <c r="K171" s="1481"/>
      <c r="L171" s="1481"/>
    </row>
    <row r="172" spans="1:14">
      <c r="A172" s="1384"/>
      <c r="B172" s="1295" t="s">
        <v>989</v>
      </c>
      <c r="C172" s="1295"/>
      <c r="D172" s="1415">
        <f>-'main TB'!R76</f>
        <v>0</v>
      </c>
      <c r="E172" s="1295"/>
      <c r="F172" s="1415">
        <f>-'main TB'!O76</f>
        <v>54586.69</v>
      </c>
      <c r="G172" s="1421"/>
      <c r="H172" s="1421"/>
      <c r="I172" s="1421"/>
      <c r="J172" s="1422"/>
      <c r="K172" s="1421"/>
      <c r="L172" s="1421"/>
    </row>
    <row r="173" spans="1:14">
      <c r="A173" s="1384"/>
      <c r="B173" s="1295" t="s">
        <v>364</v>
      </c>
      <c r="C173" s="1295"/>
      <c r="D173" s="1415">
        <f>-SUM('main TB'!R63+'main TB'!R70+'main TB'!R72)</f>
        <v>170126.16000000079</v>
      </c>
      <c r="E173" s="1295"/>
      <c r="F173" s="1415">
        <f>-SUM('main TB'!O63++'main TB'!O70+'main TB'!O72)</f>
        <v>135449.62000000075</v>
      </c>
      <c r="G173" s="1421"/>
      <c r="H173" s="1421"/>
      <c r="I173" s="1421"/>
      <c r="J173" s="1422"/>
      <c r="K173" s="1421"/>
      <c r="L173" s="1421"/>
    </row>
    <row r="174" spans="1:14" s="32" customFormat="1">
      <c r="A174" s="1384"/>
      <c r="B174" s="1295" t="s">
        <v>449</v>
      </c>
      <c r="C174" s="1295"/>
      <c r="D174" s="1623">
        <f>-'main TB'!R78</f>
        <v>3467557.9899999993</v>
      </c>
      <c r="E174" s="1295"/>
      <c r="F174" s="1415">
        <f>-'main TB'!O78</f>
        <v>4255360.9499999993</v>
      </c>
      <c r="G174" s="1421"/>
      <c r="H174" s="1421"/>
      <c r="I174" s="1421"/>
      <c r="J174" s="1422"/>
      <c r="K174" s="1421"/>
      <c r="L174" s="1421"/>
      <c r="M174" s="1393"/>
      <c r="N174" s="1393"/>
    </row>
    <row r="175" spans="1:14" s="32" customFormat="1">
      <c r="A175" s="1384"/>
      <c r="B175" s="1575" t="s">
        <v>2908</v>
      </c>
      <c r="C175" s="1601"/>
      <c r="D175" s="1623">
        <f>-'main TB'!R89</f>
        <v>1413647</v>
      </c>
      <c r="E175" s="1601"/>
      <c r="F175" s="1415">
        <f>-'main TB'!O89</f>
        <v>179508.17</v>
      </c>
      <c r="G175" s="1421"/>
      <c r="H175" s="1421"/>
      <c r="I175" s="1421"/>
      <c r="J175" s="1422"/>
      <c r="K175" s="1421"/>
      <c r="L175" s="1421"/>
      <c r="M175" s="1393"/>
      <c r="N175" s="1393"/>
    </row>
    <row r="176" spans="1:14" s="32" customFormat="1">
      <c r="A176" s="1384"/>
      <c r="B176" s="1295" t="s">
        <v>2784</v>
      </c>
      <c r="C176" s="1295"/>
      <c r="D176" s="1623">
        <v>3243192</v>
      </c>
      <c r="E176" s="1295"/>
      <c r="F176" s="1415"/>
      <c r="G176" s="1421"/>
      <c r="H176" s="1421"/>
      <c r="I176" s="1421"/>
      <c r="J176" s="1422"/>
      <c r="K176" s="1421"/>
      <c r="L176" s="1421"/>
      <c r="M176" s="1393"/>
      <c r="N176" s="1393"/>
    </row>
    <row r="177" spans="1:12">
      <c r="A177" s="1384"/>
      <c r="B177" s="1575" t="s">
        <v>2902</v>
      </c>
      <c r="C177" s="1295"/>
      <c r="D177" s="1623">
        <f>-'main TB'!R71</f>
        <v>12722187.139999997</v>
      </c>
      <c r="E177" s="1295"/>
      <c r="F177" s="1415">
        <f>-'main TB'!O71</f>
        <v>10923838.509999998</v>
      </c>
      <c r="G177" s="1421"/>
      <c r="H177" s="1421"/>
      <c r="I177" s="1421"/>
      <c r="J177" s="1422"/>
      <c r="K177" s="1421"/>
      <c r="L177" s="1421"/>
    </row>
    <row r="178" spans="1:12">
      <c r="A178" s="1384"/>
      <c r="B178" s="1295" t="s">
        <v>839</v>
      </c>
      <c r="C178" s="1295"/>
      <c r="D178" s="1415">
        <f>-SUM('main TB'!R80)</f>
        <v>0</v>
      </c>
      <c r="E178" s="1295"/>
      <c r="F178" s="1415">
        <f>-SUM('main TB'!O80)</f>
        <v>211414.04</v>
      </c>
      <c r="G178" s="1421"/>
      <c r="H178" s="1421"/>
      <c r="I178" s="1421"/>
      <c r="J178" s="1422"/>
      <c r="K178" s="1421"/>
      <c r="L178" s="1421"/>
    </row>
    <row r="179" spans="1:12">
      <c r="A179" s="1384"/>
      <c r="B179" s="1295" t="s">
        <v>1511</v>
      </c>
      <c r="C179" s="1295"/>
      <c r="D179" s="1415">
        <f>-'main TB'!R81</f>
        <v>0</v>
      </c>
      <c r="E179" s="1295"/>
      <c r="F179" s="1415">
        <f>-'main TB'!O81</f>
        <v>351610.70999999996</v>
      </c>
      <c r="G179" s="1421"/>
      <c r="H179" s="1421"/>
      <c r="I179" s="1421"/>
      <c r="J179" s="1422"/>
      <c r="K179" s="1421"/>
      <c r="L179" s="1421"/>
    </row>
    <row r="180" spans="1:12">
      <c r="A180" s="1384"/>
      <c r="B180" s="1295" t="s">
        <v>1509</v>
      </c>
      <c r="C180" s="1295"/>
      <c r="D180" s="1415">
        <f>-'main TB'!R83</f>
        <v>0</v>
      </c>
      <c r="E180" s="1295"/>
      <c r="F180" s="1415">
        <f>-'main TB'!O83</f>
        <v>132202.50999999995</v>
      </c>
      <c r="G180" s="1421"/>
      <c r="H180" s="1421"/>
      <c r="I180" s="1421"/>
      <c r="J180" s="1422"/>
      <c r="K180" s="1421"/>
      <c r="L180" s="1421"/>
    </row>
    <row r="181" spans="1:12">
      <c r="A181" s="1384"/>
      <c r="B181" s="1295" t="s">
        <v>2053</v>
      </c>
      <c r="C181" s="1295"/>
      <c r="D181" s="1415">
        <f>-'main TB'!R82</f>
        <v>0</v>
      </c>
      <c r="E181" s="1295"/>
      <c r="F181" s="1415">
        <f>-'main TB'!O82</f>
        <v>215723</v>
      </c>
      <c r="G181" s="1421"/>
      <c r="H181" s="1421"/>
      <c r="I181" s="1421"/>
      <c r="J181" s="1422"/>
      <c r="K181" s="1421"/>
      <c r="L181" s="1421"/>
    </row>
    <row r="182" spans="1:12">
      <c r="A182" s="1384"/>
      <c r="B182" s="1295" t="s">
        <v>2436</v>
      </c>
      <c r="C182" s="1295"/>
      <c r="D182" s="1623">
        <f>-'main TB'!R84</f>
        <v>174586.44</v>
      </c>
      <c r="E182" s="1295"/>
      <c r="F182" s="1415"/>
      <c r="G182" s="1421"/>
      <c r="H182" s="1421"/>
      <c r="I182" s="1421"/>
      <c r="J182" s="1422"/>
      <c r="K182" s="1421"/>
      <c r="L182" s="1421"/>
    </row>
    <row r="183" spans="1:12">
      <c r="A183" s="1384"/>
      <c r="B183" s="1295" t="s">
        <v>2437</v>
      </c>
      <c r="C183" s="1295"/>
      <c r="D183" s="1623">
        <f>-'main TB'!R85</f>
        <v>317113.51</v>
      </c>
      <c r="E183" s="1295"/>
      <c r="F183" s="1415"/>
      <c r="G183" s="1421"/>
      <c r="H183" s="1421"/>
      <c r="I183" s="1421"/>
      <c r="J183" s="1422"/>
      <c r="K183" s="1421"/>
      <c r="L183" s="1421"/>
    </row>
    <row r="184" spans="1:12">
      <c r="A184" s="1384"/>
      <c r="B184" s="1295" t="s">
        <v>2438</v>
      </c>
      <c r="C184" s="1295"/>
      <c r="D184" s="1623">
        <f>-'main TB'!R86</f>
        <v>522840.33</v>
      </c>
      <c r="E184" s="1295"/>
      <c r="F184" s="1415"/>
      <c r="G184" s="1421"/>
      <c r="H184" s="1421"/>
      <c r="I184" s="1421"/>
      <c r="J184" s="1422"/>
      <c r="K184" s="1421"/>
      <c r="L184" s="1421"/>
    </row>
    <row r="185" spans="1:12">
      <c r="A185" s="1384"/>
      <c r="B185" s="1295" t="s">
        <v>2027</v>
      </c>
      <c r="C185" s="1295"/>
      <c r="D185" s="1623">
        <f>-'main TB'!R92</f>
        <v>4860112.1999999993</v>
      </c>
      <c r="E185" s="1295"/>
      <c r="F185" s="1415">
        <f>-'main TB'!O92</f>
        <v>5234591.3099999996</v>
      </c>
      <c r="G185" s="1421"/>
      <c r="H185" s="1421"/>
      <c r="I185" s="1421"/>
      <c r="J185" s="1422"/>
      <c r="K185" s="1421"/>
      <c r="L185" s="1421"/>
    </row>
    <row r="186" spans="1:12" ht="13.5" thickBot="1">
      <c r="A186" s="1384"/>
      <c r="B186" s="1295" t="s">
        <v>1295</v>
      </c>
      <c r="C186" s="1295"/>
      <c r="D186" s="1623">
        <f>-SUM('main TB'!R69)</f>
        <v>1433580</v>
      </c>
      <c r="E186" s="1295"/>
      <c r="F186" s="1415">
        <f>-SUM('main TB'!O69)</f>
        <v>1433580</v>
      </c>
      <c r="G186" s="1421"/>
      <c r="H186" s="1421"/>
      <c r="I186" s="1421"/>
      <c r="J186" s="1422"/>
      <c r="K186" s="1421"/>
      <c r="L186" s="1421"/>
    </row>
    <row r="187" spans="1:12" ht="13.5" thickBot="1">
      <c r="A187" s="1384"/>
      <c r="B187" s="33" t="s">
        <v>1907</v>
      </c>
      <c r="C187" s="33"/>
      <c r="D187" s="1483">
        <f>SUM(D168:D186)</f>
        <v>63391414.280000001</v>
      </c>
      <c r="E187" s="33"/>
      <c r="F187" s="1483">
        <f>SUM(F168:F186)</f>
        <v>50916632.009999998</v>
      </c>
      <c r="G187" s="788"/>
      <c r="H187" s="788"/>
      <c r="I187" s="788"/>
      <c r="J187" s="1420"/>
      <c r="K187" s="788"/>
      <c r="L187" s="788"/>
    </row>
    <row r="188" spans="1:12">
      <c r="A188" s="1384"/>
      <c r="B188" s="33"/>
      <c r="C188" s="33"/>
      <c r="D188" s="33"/>
      <c r="E188" s="33"/>
      <c r="F188" s="1390"/>
      <c r="G188" s="788"/>
      <c r="H188" s="788"/>
      <c r="I188" s="788"/>
      <c r="J188" s="1420"/>
      <c r="K188" s="788"/>
      <c r="L188" s="788"/>
    </row>
    <row r="189" spans="1:12">
      <c r="A189" s="1384"/>
      <c r="B189" s="1295" t="s">
        <v>1327</v>
      </c>
      <c r="C189" s="1295"/>
      <c r="D189" s="1625">
        <f>-'main TB'!R59</f>
        <v>2759952.0700000003</v>
      </c>
      <c r="E189" s="1295"/>
      <c r="F189" s="1484">
        <f>-'main TB'!O59</f>
        <v>1401169.7599999979</v>
      </c>
      <c r="G189" s="1421"/>
      <c r="H189" s="1421"/>
      <c r="I189" s="1421"/>
      <c r="J189" s="1422"/>
      <c r="K189" s="1421"/>
      <c r="L189" s="1421"/>
    </row>
    <row r="190" spans="1:12">
      <c r="A190" s="1384"/>
      <c r="B190" s="1290"/>
      <c r="C190" s="1290"/>
      <c r="D190" s="1290"/>
      <c r="E190" s="1290"/>
      <c r="F190" s="1318"/>
      <c r="G190" s="1378"/>
      <c r="H190" s="1378"/>
      <c r="I190" s="1378"/>
      <c r="J190" s="1399"/>
      <c r="K190" s="1378"/>
      <c r="L190" s="1378"/>
    </row>
    <row r="191" spans="1:12" ht="13.5" thickBot="1">
      <c r="A191" s="1384"/>
      <c r="B191" s="33" t="s">
        <v>533</v>
      </c>
      <c r="C191" s="33"/>
      <c r="D191" s="34">
        <f>SUM(D187:D189)</f>
        <v>66151366.350000001</v>
      </c>
      <c r="E191" s="31"/>
      <c r="F191" s="34">
        <f>SUM(F187:F189)</f>
        <v>52317801.769999996</v>
      </c>
      <c r="G191" s="1378"/>
      <c r="H191" s="1378"/>
      <c r="I191" s="1378"/>
      <c r="J191" s="1399"/>
      <c r="K191" s="1378"/>
      <c r="L191" s="1378"/>
    </row>
    <row r="192" spans="1:12" ht="13.5" thickTop="1">
      <c r="A192" s="1407"/>
      <c r="B192" s="1375"/>
      <c r="C192" s="1375"/>
      <c r="D192" s="1375"/>
      <c r="E192" s="1375"/>
      <c r="F192" s="1376"/>
      <c r="G192" s="1377"/>
      <c r="H192" s="1378"/>
      <c r="I192" s="1378"/>
      <c r="J192" s="1399"/>
      <c r="K192" s="1378"/>
      <c r="L192" s="1378"/>
    </row>
    <row r="193" spans="1:12">
      <c r="A193" s="1379"/>
      <c r="B193" s="1380"/>
      <c r="C193" s="1380"/>
      <c r="D193" s="1380"/>
      <c r="E193" s="1380"/>
      <c r="F193" s="1381"/>
      <c r="G193" s="1382"/>
      <c r="H193" s="1378"/>
      <c r="I193" s="1378"/>
      <c r="J193" s="1399"/>
      <c r="K193" s="1378"/>
      <c r="L193" s="1378"/>
    </row>
    <row r="194" spans="1:12">
      <c r="A194" s="1389" t="s">
        <v>484</v>
      </c>
      <c r="B194" s="33" t="s">
        <v>1138</v>
      </c>
      <c r="C194" s="33"/>
      <c r="D194" s="1385" t="s">
        <v>2077</v>
      </c>
      <c r="E194" s="30"/>
      <c r="F194" s="1385" t="s">
        <v>1796</v>
      </c>
      <c r="G194" s="788"/>
      <c r="H194" s="788"/>
      <c r="I194" s="788"/>
      <c r="J194" s="1420"/>
      <c r="K194" s="788"/>
      <c r="L194" s="788"/>
    </row>
    <row r="195" spans="1:12">
      <c r="A195" s="1389"/>
      <c r="B195" s="33"/>
      <c r="C195" s="33"/>
      <c r="D195" s="1373"/>
      <c r="E195" s="30"/>
      <c r="F195" s="1373"/>
      <c r="G195" s="788"/>
      <c r="H195" s="788"/>
      <c r="I195" s="788"/>
      <c r="J195" s="1420"/>
      <c r="K195" s="788"/>
      <c r="L195" s="788"/>
    </row>
    <row r="196" spans="1:12">
      <c r="A196" s="1384"/>
      <c r="B196" s="1295" t="s">
        <v>990</v>
      </c>
      <c r="C196" s="1295"/>
      <c r="D196" s="1398">
        <f>-'main TB'!R64</f>
        <v>0</v>
      </c>
      <c r="E196" s="1295"/>
      <c r="F196" s="1398">
        <f>-'main TB'!O64</f>
        <v>318235.78000000003</v>
      </c>
      <c r="G196" s="1421"/>
      <c r="H196" s="1421"/>
      <c r="I196" s="1421"/>
      <c r="J196" s="1422"/>
      <c r="K196" s="1421"/>
      <c r="L196" s="1421"/>
    </row>
    <row r="197" spans="1:12">
      <c r="A197" s="1384"/>
      <c r="B197" s="1295" t="s">
        <v>851</v>
      </c>
      <c r="C197" s="1295"/>
      <c r="D197" s="1415">
        <f>-'main TB'!R67</f>
        <v>0</v>
      </c>
      <c r="E197" s="1295"/>
      <c r="F197" s="1415">
        <f>-'main TB'!O67</f>
        <v>435954.76</v>
      </c>
      <c r="G197" s="1421"/>
      <c r="H197" s="1421"/>
      <c r="I197" s="1421"/>
      <c r="J197" s="1422"/>
      <c r="K197" s="1421"/>
      <c r="L197" s="1421"/>
    </row>
    <row r="198" spans="1:12">
      <c r="A198" s="1384"/>
      <c r="B198" s="1295" t="s">
        <v>851</v>
      </c>
      <c r="C198" s="1295"/>
      <c r="D198" s="1623">
        <f>-'main TB'!R74</f>
        <v>47324</v>
      </c>
      <c r="E198" s="1295"/>
      <c r="F198" s="1415">
        <f>-'main TB'!O74</f>
        <v>47324</v>
      </c>
      <c r="G198" s="1421"/>
      <c r="H198" s="1421"/>
      <c r="I198" s="1421"/>
      <c r="J198" s="1422"/>
      <c r="K198" s="1421"/>
      <c r="L198" s="1421"/>
    </row>
    <row r="199" spans="1:12">
      <c r="A199" s="1384"/>
      <c r="B199" s="1295" t="s">
        <v>534</v>
      </c>
      <c r="C199" s="1295"/>
      <c r="D199" s="1415">
        <f>-'main TB'!R75</f>
        <v>0</v>
      </c>
      <c r="E199" s="1295"/>
      <c r="F199" s="1415">
        <f>-'main TB'!O75</f>
        <v>67382.210000000021</v>
      </c>
      <c r="G199" s="1421"/>
      <c r="H199" s="1421"/>
      <c r="I199" s="1421"/>
      <c r="J199" s="1422"/>
      <c r="K199" s="1421"/>
      <c r="L199" s="1421"/>
    </row>
    <row r="200" spans="1:12">
      <c r="A200" s="1384"/>
      <c r="B200" s="1295" t="s">
        <v>535</v>
      </c>
      <c r="C200" s="1295"/>
      <c r="D200" s="1623">
        <f>-'main TB'!R66-'main TB'!R68-'main TB'!R73-'main TB'!R77-'main TB'!R90-'main TB'!R91-'main TB'!R93-'main TB'!R88</f>
        <v>6113628.7399999993</v>
      </c>
      <c r="E200" s="1295"/>
      <c r="F200" s="1415">
        <f>-'main TB'!O66-'main TB'!O68-'main TB'!O73-'main TB'!O77-'main TB'!O90-'main TB'!O91-'main TB'!O93-'main TB'!O88</f>
        <v>7535656.5099999998</v>
      </c>
      <c r="G200" s="1421"/>
      <c r="H200" s="1421"/>
      <c r="I200" s="1421"/>
      <c r="J200" s="1422"/>
      <c r="K200" s="1421"/>
      <c r="L200" s="1421"/>
    </row>
    <row r="201" spans="1:12">
      <c r="A201" s="1384"/>
      <c r="B201" s="1295" t="s">
        <v>536</v>
      </c>
      <c r="C201" s="1295"/>
      <c r="D201" s="1431">
        <f>-'main TB'!R65</f>
        <v>0</v>
      </c>
      <c r="E201" s="1295"/>
      <c r="F201" s="1431">
        <f>-'main TB'!O65</f>
        <v>600000</v>
      </c>
      <c r="G201" s="1421"/>
      <c r="H201" s="1421"/>
      <c r="I201" s="1421"/>
      <c r="J201" s="1422"/>
      <c r="K201" s="1421"/>
      <c r="L201" s="1421"/>
    </row>
    <row r="202" spans="1:12">
      <c r="A202" s="1384"/>
      <c r="B202" s="1295"/>
      <c r="C202" s="1295"/>
      <c r="D202" s="1295"/>
      <c r="E202" s="1295"/>
      <c r="F202" s="1296"/>
      <c r="G202" s="1421"/>
      <c r="H202" s="1421"/>
      <c r="I202" s="1421"/>
      <c r="J202" s="1422"/>
      <c r="K202" s="1421"/>
      <c r="L202" s="1421"/>
    </row>
    <row r="203" spans="1:12" ht="13.5" thickBot="1">
      <c r="A203" s="1384"/>
      <c r="B203" s="33" t="s">
        <v>537</v>
      </c>
      <c r="C203" s="33"/>
      <c r="D203" s="34">
        <f>SUM(D196:D201)</f>
        <v>6160952.7399999993</v>
      </c>
      <c r="E203" s="33"/>
      <c r="F203" s="34">
        <f>SUM(F196:F201)</f>
        <v>9004553.2599999998</v>
      </c>
      <c r="G203" s="788"/>
      <c r="H203" s="788"/>
      <c r="I203" s="788"/>
      <c r="J203" s="1420"/>
      <c r="K203" s="788"/>
      <c r="L203" s="788"/>
    </row>
    <row r="204" spans="1:12" ht="13.5" thickTop="1">
      <c r="A204" s="1384"/>
      <c r="B204" s="1290"/>
      <c r="C204" s="1290"/>
      <c r="D204" s="1290"/>
      <c r="E204" s="1290"/>
      <c r="F204" s="1318"/>
      <c r="G204" s="1378"/>
      <c r="H204" s="1378"/>
      <c r="I204" s="1378"/>
      <c r="J204" s="1399"/>
      <c r="K204" s="1378"/>
      <c r="L204" s="1378"/>
    </row>
    <row r="205" spans="1:12" ht="38.25">
      <c r="A205" s="1384"/>
      <c r="B205" s="1432" t="s">
        <v>2838</v>
      </c>
      <c r="C205" s="1432"/>
      <c r="D205" s="1432"/>
      <c r="E205" s="1432"/>
      <c r="F205" s="1433"/>
      <c r="G205" s="1434"/>
      <c r="H205" s="1434"/>
      <c r="I205" s="1434"/>
      <c r="J205" s="1435"/>
      <c r="K205" s="1434"/>
      <c r="L205" s="1434"/>
    </row>
    <row r="206" spans="1:12">
      <c r="A206" s="1407"/>
      <c r="B206" s="1375"/>
      <c r="C206" s="1375"/>
      <c r="D206" s="1375"/>
      <c r="E206" s="1375"/>
      <c r="F206" s="1376"/>
      <c r="G206" s="1377"/>
      <c r="H206" s="1377"/>
      <c r="I206" s="1377"/>
      <c r="J206" s="1408"/>
      <c r="K206" s="1378"/>
      <c r="L206" s="1378"/>
    </row>
    <row r="207" spans="1:12">
      <c r="H207" s="1378"/>
      <c r="I207" s="1378"/>
      <c r="J207" s="1378"/>
      <c r="K207" s="1378"/>
      <c r="L207" s="1378"/>
    </row>
    <row r="208" spans="1:12">
      <c r="D208" s="1486">
        <f>D187+D203+D189</f>
        <v>72312319.090000004</v>
      </c>
      <c r="F208" s="1486">
        <f>F187+F203+F189</f>
        <v>61322355.029999994</v>
      </c>
      <c r="H208" s="1378"/>
      <c r="I208" s="1378"/>
      <c r="J208" s="1378"/>
      <c r="K208" s="1378"/>
      <c r="L208" s="1378"/>
    </row>
    <row r="209" spans="4:12">
      <c r="D209" s="1486">
        <f>'main TB'!R97</f>
        <v>-72312319.090000004</v>
      </c>
      <c r="F209" s="1486">
        <f>'main TB'!O97</f>
        <v>-61322355.030000001</v>
      </c>
      <c r="J209" s="1378"/>
      <c r="K209" s="1378"/>
      <c r="L209" s="1378"/>
    </row>
    <row r="210" spans="4:12">
      <c r="D210" s="1486">
        <f>SUM(D208:D209)</f>
        <v>0</v>
      </c>
      <c r="F210" s="1486">
        <f>SUM(F208:F209)</f>
        <v>0</v>
      </c>
      <c r="J210" s="1378"/>
      <c r="K210" s="1378"/>
      <c r="L210" s="1378"/>
    </row>
    <row r="211" spans="4:12">
      <c r="J211" s="1378"/>
      <c r="K211" s="1378"/>
      <c r="L211" s="1378"/>
    </row>
  </sheetData>
  <mergeCells count="2">
    <mergeCell ref="A1:J1"/>
    <mergeCell ref="A2:J2"/>
  </mergeCells>
  <phoneticPr fontId="0" type="noConversion"/>
  <conditionalFormatting sqref="B129 B134 B137 B142 B159 B155:B156 B161">
    <cfRule type="cellIs" dxfId="3" priority="2" stopIfTrue="1" operator="equal">
      <formula>"input financial year in cover sheet"</formula>
    </cfRule>
  </conditionalFormatting>
  <printOptions horizontalCentered="1"/>
  <pageMargins left="0.59055118110236227" right="0.39370078740157483" top="0.78740157480314965" bottom="0.78740157480314965" header="0" footer="0"/>
  <pageSetup scale="76" fitToHeight="4" orientation="portrait" r:id="rId1"/>
  <headerFooter>
    <oddHeader>&amp;C FINANCIAL STATEMENTS: MUSINA LOCAL MUNICIPALITY</oddHeader>
    <oddFooter>&amp;RPage &amp;P</oddFooter>
  </headerFooter>
  <rowBreaks count="3" manualBreakCount="3">
    <brk id="60" max="9" man="1"/>
    <brk id="114" max="9" man="1"/>
    <brk id="164" max="9" man="1"/>
  </rowBreaks>
</worksheet>
</file>

<file path=xl/worksheets/sheet11.xml><?xml version="1.0" encoding="utf-8"?>
<worksheet xmlns="http://schemas.openxmlformats.org/spreadsheetml/2006/main" xmlns:r="http://schemas.openxmlformats.org/officeDocument/2006/relationships">
  <sheetPr>
    <pageSetUpPr fitToPage="1"/>
  </sheetPr>
  <dimension ref="A2:I121"/>
  <sheetViews>
    <sheetView view="pageBreakPreview" topLeftCell="A5" zoomScale="60" workbookViewId="0">
      <selection activeCell="F17" sqref="F17"/>
    </sheetView>
  </sheetViews>
  <sheetFormatPr defaultRowHeight="12.75"/>
  <cols>
    <col min="1" max="1" width="5.42578125" style="1244" customWidth="1"/>
    <col min="2" max="2" width="42.5703125" style="1246" customWidth="1"/>
    <col min="3" max="3" width="16.28515625" style="1246" bestFit="1" customWidth="1"/>
    <col min="4" max="4" width="15.85546875" style="1246" bestFit="1" customWidth="1"/>
    <col min="5" max="5" width="15.42578125" style="1246" bestFit="1" customWidth="1"/>
    <col min="6" max="6" width="15.85546875" style="1246" bestFit="1" customWidth="1"/>
    <col min="7" max="7" width="14" style="1246" bestFit="1" customWidth="1"/>
    <col min="8" max="8" width="19.28515625" style="1246" customWidth="1"/>
    <col min="9" max="9" width="25.140625" style="1246" customWidth="1"/>
    <col min="10" max="16384" width="9.140625" style="1246"/>
  </cols>
  <sheetData>
    <row r="2" spans="1:9">
      <c r="B2" s="1694" t="s">
        <v>2793</v>
      </c>
      <c r="C2" s="1694"/>
      <c r="D2" s="1694"/>
      <c r="E2" s="1694"/>
      <c r="F2" s="1694"/>
      <c r="G2" s="1694"/>
      <c r="H2" s="1694"/>
      <c r="I2" s="1694"/>
    </row>
    <row r="3" spans="1:9" ht="12.75" customHeight="1">
      <c r="A3" s="1270"/>
      <c r="B3" s="1695" t="s">
        <v>2075</v>
      </c>
      <c r="C3" s="1695"/>
      <c r="D3" s="1695"/>
      <c r="E3" s="1695"/>
      <c r="F3" s="1695"/>
      <c r="G3" s="1695"/>
      <c r="H3" s="1695"/>
      <c r="I3" s="1695"/>
    </row>
    <row r="4" spans="1:9">
      <c r="C4" s="1243"/>
      <c r="D4" s="1243"/>
      <c r="E4" s="1243"/>
      <c r="F4" s="1243"/>
    </row>
    <row r="5" spans="1:9" ht="15">
      <c r="A5" s="1244">
        <v>10</v>
      </c>
      <c r="B5" s="1244" t="s">
        <v>2559</v>
      </c>
      <c r="E5" s="1266"/>
      <c r="F5" s="1266"/>
    </row>
    <row r="7" spans="1:9" ht="25.5">
      <c r="A7" s="1244">
        <v>10.1</v>
      </c>
      <c r="B7" s="1244" t="s">
        <v>540</v>
      </c>
      <c r="C7" s="1245" t="s">
        <v>1310</v>
      </c>
      <c r="D7" s="1245" t="s">
        <v>639</v>
      </c>
      <c r="E7" s="1245" t="s">
        <v>1169</v>
      </c>
      <c r="F7" s="1245" t="s">
        <v>414</v>
      </c>
      <c r="G7" s="1245" t="s">
        <v>1354</v>
      </c>
      <c r="H7" s="1245" t="s">
        <v>2794</v>
      </c>
      <c r="I7" s="1245" t="s">
        <v>1108</v>
      </c>
    </row>
    <row r="8" spans="1:9" s="1244" customFormat="1">
      <c r="C8" s="1608" t="str">
        <f>IF([1]Cover!$E$12="Select level of rounding"," ",IF([1]Cover!$E$12 = "R  (i.e. only cents)", "R", "R'000"))</f>
        <v>R</v>
      </c>
      <c r="D8" s="1608" t="str">
        <f>IF([1]Cover!$E$12="Select level of rounding"," ",IF([1]Cover!$E$12 = "R  (i.e. only cents)", "R", "R'000"))</f>
        <v>R</v>
      </c>
      <c r="E8" s="1608" t="str">
        <f>IF([1]Cover!$E$12="Select level of rounding"," ",IF([1]Cover!$E$12 = "R  (i.e. only cents)", "R", "R'000"))</f>
        <v>R</v>
      </c>
      <c r="F8" s="1608" t="str">
        <f>IF([1]Cover!$E$12="Select level of rounding"," ",IF([1]Cover!$E$12 = "R  (i.e. only cents)", "R", "R'000"))</f>
        <v>R</v>
      </c>
      <c r="G8" s="1608" t="str">
        <f>IF([1]Cover!$E$12="Select level of rounding"," ",IF([1]Cover!$E$12 = "R  (i.e. only cents)", "R", "R'000"))</f>
        <v>R</v>
      </c>
      <c r="H8" s="1608" t="str">
        <f>IF([1]Cover!$E$12="Select level of rounding"," ",IF([1]Cover!$E$12 = "R  (i.e. only cents)", "R", "R'000"))</f>
        <v>R</v>
      </c>
      <c r="I8" s="1608" t="str">
        <f>IF([1]Cover!$E$12="Select level of rounding"," ",IF([1]Cover!$E$12 = "R  (i.e. only cents)", "R", "R'000"))</f>
        <v>R</v>
      </c>
    </row>
    <row r="9" spans="1:9">
      <c r="B9" s="1244"/>
    </row>
    <row r="10" spans="1:9">
      <c r="B10" s="1244" t="s">
        <v>2222</v>
      </c>
      <c r="C10" s="1247">
        <f t="shared" ref="C10:I10" si="0">SUM(C11:C14)</f>
        <v>40217430</v>
      </c>
      <c r="D10" s="1247">
        <f t="shared" si="0"/>
        <v>28983820.049999997</v>
      </c>
      <c r="E10" s="1247">
        <f t="shared" si="0"/>
        <v>15499358.969999999</v>
      </c>
      <c r="F10" s="1247">
        <f t="shared" si="0"/>
        <v>7493989.4100000011</v>
      </c>
      <c r="G10" s="1247">
        <f t="shared" si="0"/>
        <v>5127398.7399999965</v>
      </c>
      <c r="H10" s="1247">
        <f t="shared" si="0"/>
        <v>791314.73291999986</v>
      </c>
      <c r="I10" s="1247">
        <f t="shared" si="0"/>
        <v>98113311.902919978</v>
      </c>
    </row>
    <row r="11" spans="1:9" ht="15">
      <c r="B11" s="1248" t="s">
        <v>538</v>
      </c>
      <c r="C11" s="1249">
        <f>'Appendix B'!G24</f>
        <v>40217430</v>
      </c>
      <c r="D11" s="1250">
        <f>'Appendix B'!G22</f>
        <v>34255000.689999998</v>
      </c>
      <c r="E11" s="1250">
        <f>'Appendix B'!G8</f>
        <v>28533720.259999998</v>
      </c>
      <c r="F11" s="1250">
        <f>'Appendix B'!G23</f>
        <v>7628744.7200000007</v>
      </c>
      <c r="G11" s="1250">
        <f>'Appendix B'!G26-2877278</f>
        <v>13765248.909999998</v>
      </c>
      <c r="H11" s="1250">
        <v>2877277.8160799998</v>
      </c>
      <c r="I11" s="1251">
        <f>SUM(C11:H11)</f>
        <v>127277422.39607999</v>
      </c>
    </row>
    <row r="12" spans="1:9" ht="15">
      <c r="B12" s="1248" t="s">
        <v>2795</v>
      </c>
      <c r="C12" s="1252"/>
      <c r="D12" s="1253"/>
      <c r="E12" s="1253"/>
      <c r="F12" s="1253"/>
      <c r="G12" s="1253"/>
      <c r="H12" s="1253"/>
      <c r="I12" s="1254">
        <f>SUM(C12:H12)</f>
        <v>0</v>
      </c>
    </row>
    <row r="13" spans="1:9" s="1256" customFormat="1" ht="15">
      <c r="A13" s="1255"/>
      <c r="C13" s="1257"/>
      <c r="D13" s="1258"/>
      <c r="E13" s="1258"/>
      <c r="F13" s="1258"/>
      <c r="G13" s="1258"/>
      <c r="H13" s="1258"/>
      <c r="I13" s="1259"/>
    </row>
    <row r="14" spans="1:9" ht="15">
      <c r="B14" s="1248" t="s">
        <v>2796</v>
      </c>
      <c r="C14" s="1260">
        <f>'[1]App B'!H10</f>
        <v>0</v>
      </c>
      <c r="D14" s="1261">
        <f>-'Appendix B'!R22</f>
        <v>-5271180.6399999997</v>
      </c>
      <c r="E14" s="1261">
        <f>-'Appendix B'!R8</f>
        <v>-13034361.289999999</v>
      </c>
      <c r="F14" s="1261">
        <f>-'Appendix B'!R23</f>
        <v>-134755.31</v>
      </c>
      <c r="G14" s="1261">
        <f>-'Appendix B'!R26+2085963</f>
        <v>-8637850.1700000018</v>
      </c>
      <c r="H14" s="1261">
        <v>-2085963.0831599999</v>
      </c>
      <c r="I14" s="1262">
        <f>SUM(C14:H14)</f>
        <v>-29164110.493160002</v>
      </c>
    </row>
    <row r="15" spans="1:9" ht="15">
      <c r="B15" s="1248"/>
      <c r="C15" s="1253"/>
      <c r="D15" s="1253"/>
      <c r="E15" s="1253"/>
      <c r="F15" s="1253"/>
      <c r="G15" s="1253"/>
      <c r="H15" s="1253"/>
      <c r="I15" s="1253"/>
    </row>
    <row r="16" spans="1:9" ht="15">
      <c r="B16" s="1248" t="s">
        <v>2797</v>
      </c>
      <c r="C16" s="1263">
        <f>'Appendix B'!H24</f>
        <v>158500</v>
      </c>
      <c r="D16" s="1263">
        <f>'Appendix B'!H22</f>
        <v>301227.52000000002</v>
      </c>
      <c r="E16" s="1263">
        <f>'Appendix B'!H12</f>
        <v>2734325</v>
      </c>
      <c r="F16" s="1263">
        <f>'Appendix B'!H23-5935765</f>
        <v>-1111982.92</v>
      </c>
      <c r="G16" s="1263">
        <f>'Appendix B'!H26</f>
        <v>2228767.66</v>
      </c>
      <c r="H16" s="1263">
        <f>'[1]App B'!D73</f>
        <v>0</v>
      </c>
      <c r="I16" s="1263">
        <f>SUM(C16:H16)</f>
        <v>4310837.26</v>
      </c>
    </row>
    <row r="17" spans="1:9" ht="15">
      <c r="B17" s="1248" t="s">
        <v>2798</v>
      </c>
      <c r="C17" s="1263">
        <v>0</v>
      </c>
      <c r="D17" s="1263">
        <f>'[1]App B'!F16</f>
        <v>0</v>
      </c>
      <c r="E17" s="1263">
        <v>0</v>
      </c>
      <c r="F17" s="1263">
        <f>1556716.48+2341297.81+2037750.75</f>
        <v>5935765.04</v>
      </c>
      <c r="G17" s="1263">
        <f>'[1]App B'!F69</f>
        <v>0</v>
      </c>
      <c r="H17" s="1263">
        <f>'[1]App B'!F73</f>
        <v>0</v>
      </c>
      <c r="I17" s="1263">
        <f>SUM(C17:H17)</f>
        <v>5935765.04</v>
      </c>
    </row>
    <row r="18" spans="1:9" ht="15">
      <c r="B18" s="1248" t="s">
        <v>2799</v>
      </c>
      <c r="C18" s="1263">
        <f>'[1]App B'!I10</f>
        <v>0</v>
      </c>
      <c r="D18" s="1263">
        <f>-'Appendix B'!T21</f>
        <v>-1394073.9500000002</v>
      </c>
      <c r="E18" s="1263">
        <f>-'Appendix B'!T8</f>
        <v>-1546738.63</v>
      </c>
      <c r="F18" s="1263">
        <f>'[1]App B'!I41</f>
        <v>0</v>
      </c>
      <c r="G18" s="1263">
        <f>-'Appendix B'!T26+275342</f>
        <v>-3886308.3200000003</v>
      </c>
      <c r="H18" s="1263">
        <v>-275342.49455</v>
      </c>
      <c r="I18" s="1564">
        <f>SUM(C18:H18)</f>
        <v>-7102463.3945500003</v>
      </c>
    </row>
    <row r="19" spans="1:9" ht="15">
      <c r="B19" s="1248"/>
      <c r="C19" s="1263"/>
      <c r="D19" s="1263"/>
      <c r="E19" s="1263"/>
      <c r="F19" s="1263"/>
      <c r="G19" s="1263"/>
      <c r="H19" s="1263"/>
      <c r="I19" s="1263"/>
    </row>
    <row r="20" spans="1:9">
      <c r="B20" s="1248" t="s">
        <v>1351</v>
      </c>
      <c r="C20" s="1247">
        <f>SUM(C21:C22)</f>
        <v>-23630</v>
      </c>
      <c r="D20" s="1247">
        <f t="shared" ref="D20:I20" si="1">SUM(D21:D22)</f>
        <v>0</v>
      </c>
      <c r="E20" s="1247">
        <f t="shared" si="1"/>
        <v>0</v>
      </c>
      <c r="F20" s="1247">
        <f>-SUM(F21:F22)</f>
        <v>0</v>
      </c>
      <c r="G20" s="1247">
        <f t="shared" si="1"/>
        <v>-3.3500000135973096E-3</v>
      </c>
      <c r="H20" s="1247">
        <f t="shared" si="1"/>
        <v>-391787.72664999997</v>
      </c>
      <c r="I20" s="1247">
        <f t="shared" si="1"/>
        <v>-415417.73</v>
      </c>
    </row>
    <row r="21" spans="1:9" ht="15">
      <c r="B21" s="1248" t="s">
        <v>538</v>
      </c>
      <c r="C21" s="1249">
        <f>-'Appendix B'!K21</f>
        <v>-23630</v>
      </c>
      <c r="D21" s="1250">
        <f>'[1]App B'!E16</f>
        <v>0</v>
      </c>
      <c r="E21" s="1250">
        <f>'[2]Appendix B'!K8</f>
        <v>0</v>
      </c>
      <c r="F21" s="1250">
        <v>0</v>
      </c>
      <c r="G21" s="1250">
        <f>-'[2]Appendix B'!K26-H21</f>
        <v>-5.6300000287592411E-3</v>
      </c>
      <c r="H21" s="1250">
        <v>-1408380.51437</v>
      </c>
      <c r="I21" s="1251">
        <f>SUM(C21:H21)</f>
        <v>-1432010.52</v>
      </c>
    </row>
    <row r="22" spans="1:9" ht="15">
      <c r="B22" s="1248" t="s">
        <v>2796</v>
      </c>
      <c r="C22" s="1260">
        <f>'[1]App B'!J10</f>
        <v>0</v>
      </c>
      <c r="D22" s="1261">
        <f>'[1]App B'!J16</f>
        <v>0</v>
      </c>
      <c r="E22" s="1261">
        <f>'[1]App B'!J29</f>
        <v>0</v>
      </c>
      <c r="F22" s="1261">
        <f>'[1]App B'!J41</f>
        <v>0</v>
      </c>
      <c r="G22" s="1261">
        <f>'[2]Appendix B'!V26-H22</f>
        <v>2.2800000151619315E-3</v>
      </c>
      <c r="H22" s="1261">
        <v>1016592.78772</v>
      </c>
      <c r="I22" s="1262">
        <f>SUM(C22:H22)</f>
        <v>1016592.79</v>
      </c>
    </row>
    <row r="23" spans="1:9" s="1248" customFormat="1">
      <c r="A23" s="1244"/>
      <c r="C23" s="1264"/>
      <c r="D23" s="1264"/>
      <c r="E23" s="1264"/>
      <c r="F23" s="1264"/>
      <c r="G23" s="1264"/>
      <c r="H23" s="1264"/>
      <c r="I23" s="1264"/>
    </row>
    <row r="24" spans="1:9" ht="15">
      <c r="B24" s="1248" t="s">
        <v>2262</v>
      </c>
      <c r="C24" s="1263">
        <f>'[1]App B'!K10</f>
        <v>0</v>
      </c>
      <c r="D24" s="1263">
        <f>'[1]App B'!K16</f>
        <v>0</v>
      </c>
      <c r="E24" s="1263">
        <f>'[1]App B'!K29</f>
        <v>0</v>
      </c>
      <c r="F24" s="1263">
        <f>'[1]App B'!K41</f>
        <v>0</v>
      </c>
      <c r="G24" s="1263">
        <f>'[1]App B'!K69</f>
        <v>0</v>
      </c>
      <c r="H24" s="1263">
        <f>'[1]App B'!K73</f>
        <v>0</v>
      </c>
      <c r="I24" s="1263">
        <f>SUM(C24:H24)</f>
        <v>0</v>
      </c>
    </row>
    <row r="25" spans="1:9" ht="15">
      <c r="B25" s="1265" t="s">
        <v>2263</v>
      </c>
      <c r="C25" s="1263">
        <f>'[1]App B'!M10</f>
        <v>0</v>
      </c>
      <c r="D25" s="1263">
        <f>'[1]App B'!M16</f>
        <v>0</v>
      </c>
      <c r="E25" s="1263">
        <f>'[1]App B'!M29</f>
        <v>0</v>
      </c>
      <c r="F25" s="1263">
        <f>'[1]App B'!M41</f>
        <v>0</v>
      </c>
      <c r="G25" s="1263">
        <f>284797.97+79247</f>
        <v>364044.97</v>
      </c>
      <c r="H25" s="1263">
        <f>'[1]App B'!M73</f>
        <v>0</v>
      </c>
      <c r="I25" s="1263">
        <f>SUM(C25:H25)</f>
        <v>364044.97</v>
      </c>
    </row>
    <row r="26" spans="1:9" ht="15">
      <c r="B26" s="1256"/>
      <c r="C26" s="1263">
        <f>'[1]App B'!N10</f>
        <v>0</v>
      </c>
      <c r="D26" s="1263">
        <f>'[1]App B'!N16</f>
        <v>0</v>
      </c>
      <c r="E26" s="1263">
        <f>'[1]App B'!N29</f>
        <v>0</v>
      </c>
      <c r="F26" s="1263">
        <f>'[1]App B'!N41</f>
        <v>0</v>
      </c>
      <c r="G26" s="1263">
        <f>'[1]App B'!N69</f>
        <v>0</v>
      </c>
      <c r="H26" s="1263">
        <f>'[1]App B'!N73</f>
        <v>0</v>
      </c>
      <c r="I26" s="1263">
        <f>SUM(C26:H26)</f>
        <v>0</v>
      </c>
    </row>
    <row r="27" spans="1:9" ht="15">
      <c r="B27" s="1248"/>
      <c r="C27" s="1263"/>
      <c r="D27" s="1263"/>
      <c r="E27" s="1263"/>
      <c r="F27" s="1263"/>
      <c r="G27" s="1263"/>
      <c r="H27" s="1263"/>
      <c r="I27" s="1263"/>
    </row>
    <row r="28" spans="1:9">
      <c r="B28" s="1244" t="s">
        <v>2804</v>
      </c>
      <c r="C28" s="1247">
        <f>SUM(C29:C30)</f>
        <v>40352300</v>
      </c>
      <c r="D28" s="1247">
        <f t="shared" ref="D28:I28" si="2">SUM(D29:D30)</f>
        <v>29006754.25</v>
      </c>
      <c r="E28" s="1247">
        <f t="shared" si="2"/>
        <v>16616630.119999997</v>
      </c>
      <c r="F28" s="1247">
        <f t="shared" si="2"/>
        <v>16226805.640000001</v>
      </c>
      <c r="G28" s="1247">
        <f>SUM(G29:G30)</f>
        <v>3859680.6400000025</v>
      </c>
      <c r="H28" s="1247">
        <f t="shared" si="2"/>
        <v>124183.51172000007</v>
      </c>
      <c r="I28" s="1247">
        <f t="shared" si="2"/>
        <v>106186354.16172001</v>
      </c>
    </row>
    <row r="29" spans="1:9" ht="15">
      <c r="B29" s="1248" t="s">
        <v>538</v>
      </c>
      <c r="C29" s="1249">
        <f>'Appendix B'!L24</f>
        <v>40352300</v>
      </c>
      <c r="D29" s="1250">
        <f>'Appendix B'!L22</f>
        <v>35417717.469999999</v>
      </c>
      <c r="E29" s="1250">
        <f>'Appendix B'!L8</f>
        <v>31197869.599999998</v>
      </c>
      <c r="F29" s="1250">
        <f>'Appendix B'!L23</f>
        <v>16615852.32</v>
      </c>
      <c r="G29" s="1250">
        <f>'Appendix B'!L26-1468897+'Appendix B'!H30</f>
        <v>17400400.530000001</v>
      </c>
      <c r="H29" s="1250">
        <f>1468897.30171-1</f>
        <v>1468896.30171</v>
      </c>
      <c r="I29" s="1251">
        <f>SUM(C29:H29)</f>
        <v>142453036.22171</v>
      </c>
    </row>
    <row r="30" spans="1:9" ht="15">
      <c r="B30" s="1248" t="s">
        <v>2796</v>
      </c>
      <c r="C30" s="1260">
        <f>'[1]App B'!L10</f>
        <v>0</v>
      </c>
      <c r="D30" s="1261">
        <f>-'Appendix B'!W22</f>
        <v>-6410963.2199999997</v>
      </c>
      <c r="E30" s="1261">
        <f>-'Appendix B'!W8</f>
        <v>-14581239.48</v>
      </c>
      <c r="F30" s="1261">
        <f>-'Appendix B'!W23</f>
        <v>-389046.68</v>
      </c>
      <c r="G30" s="1261">
        <f>-'Appendix B'!W26-'Appendix B'!H30+1344713</f>
        <v>-13540719.889999999</v>
      </c>
      <c r="H30" s="1261">
        <v>-1344712.78999</v>
      </c>
      <c r="I30" s="1262">
        <f>SUM(C30:H30)</f>
        <v>-36266682.059989996</v>
      </c>
    </row>
    <row r="31" spans="1:9" ht="15">
      <c r="C31" s="1266"/>
      <c r="D31" s="1266"/>
      <c r="E31" s="1266"/>
      <c r="F31" s="1266"/>
      <c r="G31" s="1266"/>
      <c r="H31" s="1266"/>
      <c r="I31" s="1266"/>
    </row>
    <row r="32" spans="1:9" s="1256" customFormat="1" ht="15">
      <c r="A32" s="1255"/>
      <c r="C32" s="1267"/>
      <c r="D32" s="1267"/>
      <c r="E32" s="1267"/>
      <c r="F32" s="1267"/>
      <c r="G32" s="1267"/>
      <c r="H32" s="1267"/>
      <c r="I32" s="1267"/>
    </row>
    <row r="33" spans="1:9" ht="15">
      <c r="B33" s="1696" t="s">
        <v>2788</v>
      </c>
      <c r="C33" s="1696"/>
      <c r="D33" s="1696"/>
      <c r="E33" s="1268"/>
      <c r="F33" s="1266"/>
      <c r="G33" s="1266"/>
      <c r="H33" s="1266"/>
      <c r="I33" s="1266"/>
    </row>
    <row r="34" spans="1:9" ht="15">
      <c r="C34" s="1266"/>
      <c r="D34" s="1266"/>
      <c r="E34" s="1266"/>
      <c r="F34" s="1266"/>
      <c r="G34" s="1266"/>
      <c r="H34" s="1266"/>
      <c r="I34" s="1266"/>
    </row>
    <row r="36" spans="1:9" ht="15.75">
      <c r="B36" s="1697"/>
      <c r="C36" s="1697"/>
      <c r="D36" s="1697"/>
      <c r="E36" s="1697"/>
      <c r="F36" s="1697"/>
      <c r="G36" s="1697"/>
      <c r="H36" s="1697"/>
      <c r="I36" s="1697"/>
    </row>
    <row r="37" spans="1:9">
      <c r="B37" s="1694" t="s">
        <v>2793</v>
      </c>
      <c r="C37" s="1694"/>
      <c r="D37" s="1694"/>
      <c r="E37" s="1694"/>
      <c r="F37" s="1694"/>
      <c r="G37" s="1694"/>
      <c r="H37" s="1694"/>
      <c r="I37" s="1694"/>
    </row>
    <row r="38" spans="1:9">
      <c r="B38" s="1695" t="s">
        <v>2075</v>
      </c>
      <c r="C38" s="1695"/>
      <c r="D38" s="1695"/>
      <c r="E38" s="1695"/>
      <c r="F38" s="1695"/>
      <c r="G38" s="1695"/>
      <c r="H38" s="1695"/>
      <c r="I38" s="1695"/>
    </row>
    <row r="39" spans="1:9">
      <c r="C39" s="1243"/>
      <c r="D39" s="1243"/>
      <c r="E39" s="1243"/>
      <c r="F39" s="1243"/>
    </row>
    <row r="41" spans="1:9" ht="25.5">
      <c r="A41" s="1244">
        <v>10.1</v>
      </c>
      <c r="B41" s="1244" t="s">
        <v>540</v>
      </c>
      <c r="C41" s="1245" t="s">
        <v>1310</v>
      </c>
      <c r="D41" s="1245" t="s">
        <v>639</v>
      </c>
      <c r="E41" s="1245" t="s">
        <v>1169</v>
      </c>
      <c r="F41" s="1245" t="s">
        <v>414</v>
      </c>
      <c r="G41" s="1245" t="s">
        <v>1354</v>
      </c>
      <c r="H41" s="1245" t="s">
        <v>2794</v>
      </c>
      <c r="I41" s="1245" t="s">
        <v>1108</v>
      </c>
    </row>
    <row r="42" spans="1:9" s="1244" customFormat="1">
      <c r="C42" s="1608" t="str">
        <f>IF([1]Cover!$E$12="Select level of rounding"," ",IF([1]Cover!$E$12 = "R  (i.e. only cents)", "R", "R'000"))</f>
        <v>R</v>
      </c>
      <c r="D42" s="1608" t="str">
        <f>IF([1]Cover!$E$12="Select level of rounding"," ",IF([1]Cover!$E$12 = "R  (i.e. only cents)", "R", "R'000"))</f>
        <v>R</v>
      </c>
      <c r="E42" s="1608" t="str">
        <f>IF([1]Cover!$E$12="Select level of rounding"," ",IF([1]Cover!$E$12 = "R  (i.e. only cents)", "R", "R'000"))</f>
        <v>R</v>
      </c>
      <c r="F42" s="1608" t="str">
        <f>IF([1]Cover!$E$12="Select level of rounding"," ",IF([1]Cover!$E$12 = "R  (i.e. only cents)", "R", "R'000"))</f>
        <v>R</v>
      </c>
      <c r="G42" s="1608" t="str">
        <f>IF([1]Cover!$E$12="Select level of rounding"," ",IF([1]Cover!$E$12 = "R  (i.e. only cents)", "R", "R'000"))</f>
        <v>R</v>
      </c>
      <c r="H42" s="1608" t="str">
        <f>IF([1]Cover!$E$12="Select level of rounding"," ",IF([1]Cover!$E$12 = "R  (i.e. only cents)", "R", "R'000"))</f>
        <v>R</v>
      </c>
      <c r="I42" s="1608" t="str">
        <f>IF([1]Cover!$E$12="Select level of rounding"," ",IF([1]Cover!$E$12 = "R  (i.e. only cents)", "R", "R'000"))</f>
        <v>R</v>
      </c>
    </row>
    <row r="43" spans="1:9">
      <c r="B43" s="1244"/>
    </row>
    <row r="44" spans="1:9">
      <c r="B44" s="1244" t="s">
        <v>2800</v>
      </c>
      <c r="C44" s="1247">
        <f t="shared" ref="C44:I44" si="3">SUM(C45:C48)</f>
        <v>44278800</v>
      </c>
      <c r="D44" s="1247">
        <f t="shared" si="3"/>
        <v>27829857.127149999</v>
      </c>
      <c r="E44" s="1247">
        <f t="shared" si="3"/>
        <v>14641547.126840001</v>
      </c>
      <c r="F44" s="1247">
        <f t="shared" si="3"/>
        <v>848235.87108000007</v>
      </c>
      <c r="G44" s="1247">
        <f>SUM(G45:G48)</f>
        <v>6093081.1515499977</v>
      </c>
      <c r="H44" s="1247">
        <f t="shared" si="3"/>
        <v>1918660.2062999997</v>
      </c>
      <c r="I44" s="1247">
        <f t="shared" si="3"/>
        <v>95610181.482920021</v>
      </c>
    </row>
    <row r="45" spans="1:9" ht="15">
      <c r="B45" s="1248" t="s">
        <v>538</v>
      </c>
      <c r="C45" s="1249">
        <v>44278800</v>
      </c>
      <c r="D45" s="1250">
        <v>32033510.059999999</v>
      </c>
      <c r="E45" s="1250">
        <v>26358572.78999</v>
      </c>
      <c r="F45" s="1250">
        <v>951281.28</v>
      </c>
      <c r="G45" s="1250">
        <f>16349702.67707-H45</f>
        <v>13252448.683079999</v>
      </c>
      <c r="H45" s="1250">
        <v>3097253.9939899999</v>
      </c>
      <c r="I45" s="1251">
        <f>SUM(C45:H45)</f>
        <v>119971866.80706002</v>
      </c>
    </row>
    <row r="46" spans="1:9" ht="15">
      <c r="B46" s="1248" t="s">
        <v>2801</v>
      </c>
      <c r="C46" s="1252"/>
      <c r="D46" s="1253">
        <v>772015</v>
      </c>
      <c r="E46" s="1253">
        <v>119211</v>
      </c>
      <c r="F46" s="1253">
        <v>51507</v>
      </c>
      <c r="G46" s="1253">
        <f>668485-H46</f>
        <v>1148511</v>
      </c>
      <c r="H46" s="1253">
        <f>-480026</f>
        <v>-480026</v>
      </c>
      <c r="I46" s="1254">
        <f>SUM(C46:H46)</f>
        <v>1611218</v>
      </c>
    </row>
    <row r="47" spans="1:9" s="1256" customFormat="1" ht="15">
      <c r="A47" s="1255"/>
      <c r="C47" s="1257"/>
      <c r="D47" s="1258"/>
      <c r="E47" s="1258"/>
      <c r="F47" s="1258"/>
      <c r="G47" s="1258"/>
      <c r="H47" s="1258"/>
      <c r="I47" s="1259"/>
    </row>
    <row r="48" spans="1:9" ht="15">
      <c r="B48" s="1248" t="s">
        <v>2796</v>
      </c>
      <c r="C48" s="1260">
        <f>'[1]App B'!H89</f>
        <v>0</v>
      </c>
      <c r="D48" s="1261">
        <v>-4975667.9328500004</v>
      </c>
      <c r="E48" s="1261">
        <v>-11836236.663149999</v>
      </c>
      <c r="F48" s="1261">
        <v>-154552.40891999999</v>
      </c>
      <c r="G48" s="1261">
        <f>-9006446.31922-H48</f>
        <v>-8307878.5315300012</v>
      </c>
      <c r="H48" s="1261">
        <v>-698567.78769000003</v>
      </c>
      <c r="I48" s="1262">
        <f>SUM(C48:H48)</f>
        <v>-25972903.324140001</v>
      </c>
    </row>
    <row r="49" spans="1:9" ht="15">
      <c r="B49" s="1248"/>
      <c r="C49" s="1253"/>
      <c r="D49" s="1253"/>
      <c r="E49" s="1253"/>
      <c r="F49" s="1253"/>
      <c r="G49" s="1253"/>
      <c r="H49" s="1253"/>
      <c r="I49" s="1253"/>
    </row>
    <row r="50" spans="1:9" ht="15">
      <c r="B50" s="1248" t="s">
        <v>2797</v>
      </c>
      <c r="C50" s="1263">
        <v>565000</v>
      </c>
      <c r="D50" s="1263">
        <v>2221489.69</v>
      </c>
      <c r="E50" s="1263">
        <v>2175147.9500199999</v>
      </c>
      <c r="F50" s="1253">
        <v>6677463.9000000004</v>
      </c>
      <c r="G50" s="1263">
        <f>725462.84209-H50</f>
        <v>522062.59000000008</v>
      </c>
      <c r="H50" s="1253">
        <v>203400.25208999999</v>
      </c>
      <c r="I50" s="1263">
        <f>SUM(C50:H50)</f>
        <v>12364564.38211</v>
      </c>
    </row>
    <row r="51" spans="1:9" ht="15">
      <c r="B51" s="1248" t="s">
        <v>2798</v>
      </c>
      <c r="C51" s="1263">
        <f>'[1]App B'!F89</f>
        <v>0</v>
      </c>
      <c r="D51" s="1263">
        <f>'[1]App B'!F91</f>
        <v>0</v>
      </c>
      <c r="E51" s="1263">
        <f>'[1]App B'!F104</f>
        <v>0</v>
      </c>
      <c r="F51" s="1263">
        <f>'[1]App B'!F116</f>
        <v>0</v>
      </c>
      <c r="G51" s="1263">
        <f>'[1]App B'!F144</f>
        <v>0</v>
      </c>
      <c r="H51" s="1263">
        <f>'[1]App B'!F148</f>
        <v>0</v>
      </c>
      <c r="I51" s="1263">
        <f>SUM(C51:H51)</f>
        <v>0</v>
      </c>
    </row>
    <row r="52" spans="1:9" ht="15">
      <c r="B52" s="1248" t="s">
        <v>2799</v>
      </c>
      <c r="C52" s="1263">
        <f>'[1]App B'!I89</f>
        <v>0</v>
      </c>
      <c r="D52" s="1263">
        <v>-1067527.6354799999</v>
      </c>
      <c r="E52" s="1263">
        <v>-1317334.96114</v>
      </c>
      <c r="F52" s="1263">
        <v>-31709.30934</v>
      </c>
      <c r="G52" s="1263">
        <f>-2390549.77404-H52</f>
        <v>-1483180.47857</v>
      </c>
      <c r="H52" s="1263">
        <v>-907369.29547000001</v>
      </c>
      <c r="I52" s="1263">
        <f>SUM(C52:H52)</f>
        <v>-4807121.6800000006</v>
      </c>
    </row>
    <row r="53" spans="1:9" ht="15">
      <c r="B53" s="1248"/>
      <c r="C53" s="1263"/>
      <c r="D53" s="1263"/>
      <c r="E53" s="1263"/>
      <c r="F53" s="1263"/>
      <c r="G53" s="1263"/>
      <c r="H53" s="1263"/>
      <c r="I53" s="1263"/>
    </row>
    <row r="54" spans="1:9">
      <c r="B54" s="1248" t="s">
        <v>1351</v>
      </c>
      <c r="C54" s="1247">
        <f t="shared" ref="C54:I54" si="4">SUM(C55:C56)</f>
        <v>-4626370</v>
      </c>
      <c r="D54" s="1247">
        <f t="shared" si="4"/>
        <v>0</v>
      </c>
      <c r="E54" s="1247">
        <f t="shared" si="4"/>
        <v>0</v>
      </c>
      <c r="F54" s="1247">
        <f>SUM(F55:F56)</f>
        <v>0</v>
      </c>
      <c r="G54" s="1247">
        <f>SUM(G55:G56)</f>
        <v>-4563.1260200000006</v>
      </c>
      <c r="H54" s="1247">
        <f t="shared" si="4"/>
        <v>0</v>
      </c>
      <c r="I54" s="1247">
        <f t="shared" si="4"/>
        <v>-4630933.1260200003</v>
      </c>
    </row>
    <row r="55" spans="1:9" ht="15">
      <c r="B55" s="1248" t="s">
        <v>538</v>
      </c>
      <c r="C55" s="1249">
        <v>-4626370</v>
      </c>
      <c r="D55" s="1250">
        <f>'[1]App B'!E91</f>
        <v>0</v>
      </c>
      <c r="E55" s="1250">
        <f>'[1]App B'!E104</f>
        <v>0</v>
      </c>
      <c r="F55" s="1250">
        <f>'[1]App B'!E116</f>
        <v>0</v>
      </c>
      <c r="G55" s="1250">
        <f>-9261.94-H55</f>
        <v>-9261.94</v>
      </c>
      <c r="H55" s="1250">
        <f>'[1]App B'!E148</f>
        <v>0</v>
      </c>
      <c r="I55" s="1251">
        <f>SUM(C55:H55)</f>
        <v>-4635631.9400000004</v>
      </c>
    </row>
    <row r="56" spans="1:9" ht="15">
      <c r="B56" s="1248" t="s">
        <v>2796</v>
      </c>
      <c r="C56" s="1260">
        <f>'[1]App B'!J89</f>
        <v>0</v>
      </c>
      <c r="D56" s="1261">
        <f>'[1]App B'!J91</f>
        <v>0</v>
      </c>
      <c r="E56" s="1261">
        <f>'[1]App B'!J104</f>
        <v>0</v>
      </c>
      <c r="F56" s="1261">
        <f>'[1]App B'!J116</f>
        <v>0</v>
      </c>
      <c r="G56" s="1261">
        <f>4698.81398-H56</f>
        <v>4698.8139799999999</v>
      </c>
      <c r="H56" s="1261">
        <f>'[1]App B'!J148</f>
        <v>0</v>
      </c>
      <c r="I56" s="1262">
        <f>SUM(C56:H56)</f>
        <v>4698.8139799999999</v>
      </c>
    </row>
    <row r="57" spans="1:9" s="1248" customFormat="1">
      <c r="A57" s="1244"/>
      <c r="C57" s="1264"/>
      <c r="D57" s="1264"/>
      <c r="E57" s="1264"/>
      <c r="F57" s="1264"/>
      <c r="G57" s="1264"/>
      <c r="H57" s="1264"/>
      <c r="I57" s="1264"/>
    </row>
    <row r="58" spans="1:9" ht="15">
      <c r="B58" s="1248" t="s">
        <v>2262</v>
      </c>
      <c r="C58" s="1263">
        <f>'[1]App B'!K89</f>
        <v>0</v>
      </c>
      <c r="D58" s="1263">
        <f>'[1]App B'!K91</f>
        <v>0</v>
      </c>
      <c r="E58" s="1263">
        <f>'[1]App B'!K104</f>
        <v>0</v>
      </c>
      <c r="F58" s="1263">
        <f>'[1]App B'!K116</f>
        <v>0</v>
      </c>
      <c r="G58" s="1263">
        <f>'[1]App B'!K144</f>
        <v>0</v>
      </c>
      <c r="H58" s="1263">
        <f>'[1]App B'!K148</f>
        <v>0</v>
      </c>
      <c r="I58" s="1263">
        <f>SUM(C58:H58)</f>
        <v>0</v>
      </c>
    </row>
    <row r="59" spans="1:9" ht="15">
      <c r="B59" s="1265" t="s">
        <v>2263</v>
      </c>
      <c r="C59" s="1263">
        <f>'[1]App B'!M89</f>
        <v>0</v>
      </c>
      <c r="D59" s="1263">
        <f>'[1]App B'!M91</f>
        <v>0</v>
      </c>
      <c r="E59" s="1263">
        <f>'[1]App B'!M104</f>
        <v>0</v>
      </c>
      <c r="F59" s="1263">
        <f>'[1]App B'!M116</f>
        <v>0</v>
      </c>
      <c r="G59" s="1263">
        <f>'[1]App B'!M144</f>
        <v>0</v>
      </c>
      <c r="H59" s="1263">
        <f>'[1]App B'!M148</f>
        <v>0</v>
      </c>
      <c r="I59" s="1263">
        <f>SUM(C59:H59)</f>
        <v>0</v>
      </c>
    </row>
    <row r="60" spans="1:9" ht="15">
      <c r="B60" s="1248" t="s">
        <v>2802</v>
      </c>
      <c r="C60" s="1263">
        <f>'[1]App B'!N89</f>
        <v>0</v>
      </c>
      <c r="D60" s="1263">
        <v>0</v>
      </c>
      <c r="E60" s="1263">
        <v>0</v>
      </c>
      <c r="F60" s="1263">
        <v>0</v>
      </c>
      <c r="G60" s="1263">
        <f>-423376.43-H60</f>
        <v>0</v>
      </c>
      <c r="H60" s="1263">
        <f>-423376.43</f>
        <v>-423376.43</v>
      </c>
      <c r="I60" s="1263">
        <f>SUM(C60:H60)</f>
        <v>-423376.43</v>
      </c>
    </row>
    <row r="61" spans="1:9" ht="15">
      <c r="B61" s="1248"/>
      <c r="C61" s="1263"/>
      <c r="D61" s="1263"/>
      <c r="E61" s="1263"/>
      <c r="F61" s="1263"/>
      <c r="G61" s="1263"/>
      <c r="H61" s="1263"/>
      <c r="I61" s="1263"/>
    </row>
    <row r="62" spans="1:9">
      <c r="B62" s="1244" t="s">
        <v>2803</v>
      </c>
      <c r="C62" s="1247">
        <f t="shared" ref="C62:E62" si="5">SUM(C63:C64)</f>
        <v>40217430</v>
      </c>
      <c r="D62" s="1247">
        <f t="shared" si="5"/>
        <v>28983819.181669999</v>
      </c>
      <c r="E62" s="1247">
        <f t="shared" si="5"/>
        <v>15499360.115720002</v>
      </c>
      <c r="F62" s="1247">
        <f>SUM(F63:F64)</f>
        <v>7493990.4617400002</v>
      </c>
      <c r="G62" s="1247">
        <f>SUM(G63:G64)</f>
        <v>5127400.1369599979</v>
      </c>
      <c r="H62" s="1247">
        <f>SUM(H63:H64)</f>
        <v>791314.73291999963</v>
      </c>
      <c r="I62" s="1247">
        <f>SUM(I63:I64)</f>
        <v>98113314.629009992</v>
      </c>
    </row>
    <row r="63" spans="1:9" ht="15">
      <c r="B63" s="1248" t="s">
        <v>538</v>
      </c>
      <c r="C63" s="1249">
        <f>C45+C50+C55+C60</f>
        <v>40217430</v>
      </c>
      <c r="D63" s="1250">
        <f>D45+D50+D55+D60</f>
        <v>34254999.75</v>
      </c>
      <c r="E63" s="1250">
        <f>E45+E50+E55+E60</f>
        <v>28533720.740010001</v>
      </c>
      <c r="F63" s="1250">
        <f>F45+F50+F55+F60</f>
        <v>7628745.1800000006</v>
      </c>
      <c r="G63" s="1250">
        <f>G45+G50+G55+G60</f>
        <v>13765249.333079999</v>
      </c>
      <c r="H63" s="1250">
        <f>H45+H50+H55-423376.43</f>
        <v>2877277.8160799998</v>
      </c>
      <c r="I63" s="1251">
        <f>SUM(C63:H63)</f>
        <v>127277422.81917</v>
      </c>
    </row>
    <row r="64" spans="1:9" ht="15">
      <c r="B64" s="1248" t="s">
        <v>2796</v>
      </c>
      <c r="C64" s="1260">
        <f>C48+C52+C56+C60</f>
        <v>0</v>
      </c>
      <c r="D64" s="1261">
        <f>D48+D52+D56+D46</f>
        <v>-5271180.5683300002</v>
      </c>
      <c r="E64" s="1261">
        <f>E48+E52+E56+E46</f>
        <v>-13034360.624289999</v>
      </c>
      <c r="F64" s="1261">
        <f>F48+F52+F56+F46</f>
        <v>-134754.71825999999</v>
      </c>
      <c r="G64" s="1261">
        <f>G48+G52+G56+G46</f>
        <v>-8637849.1961200014</v>
      </c>
      <c r="H64" s="1261">
        <f>H46+H48+H52+H56</f>
        <v>-2085963.0831600002</v>
      </c>
      <c r="I64" s="1262">
        <f>SUM(C64:H64)</f>
        <v>-29164108.190160003</v>
      </c>
    </row>
    <row r="65" spans="1:9" ht="15">
      <c r="C65" s="1266"/>
      <c r="D65" s="1266"/>
      <c r="E65" s="1266"/>
      <c r="F65" s="1266"/>
      <c r="G65" s="1266"/>
      <c r="H65" s="1266"/>
      <c r="I65" s="1266"/>
    </row>
    <row r="66" spans="1:9" s="1628" customFormat="1" ht="15">
      <c r="A66" s="1626"/>
      <c r="B66" s="1248"/>
      <c r="C66" s="1627"/>
      <c r="D66" s="1627"/>
      <c r="E66" s="1627"/>
      <c r="F66" s="1627"/>
      <c r="G66" s="1627"/>
      <c r="H66" s="1627"/>
      <c r="I66" s="1627"/>
    </row>
    <row r="67" spans="1:9" ht="15">
      <c r="B67" s="1696" t="s">
        <v>2788</v>
      </c>
      <c r="C67" s="1696"/>
      <c r="D67" s="1696"/>
      <c r="E67" s="1268"/>
      <c r="F67" s="1266"/>
      <c r="G67" s="1266"/>
      <c r="H67" s="1266"/>
      <c r="I67" s="1266"/>
    </row>
    <row r="68" spans="1:9">
      <c r="B68" s="1703" t="s">
        <v>2752</v>
      </c>
      <c r="C68" s="1703"/>
      <c r="D68" s="1703"/>
      <c r="E68" s="1703"/>
      <c r="F68" s="1703"/>
      <c r="G68" s="1703"/>
      <c r="H68" s="1703"/>
    </row>
    <row r="69" spans="1:9" ht="15.75">
      <c r="B69" s="1703"/>
      <c r="C69" s="1703"/>
      <c r="D69" s="1703"/>
      <c r="E69" s="1703"/>
      <c r="F69" s="1703"/>
      <c r="G69" s="1703"/>
      <c r="H69" s="1703"/>
      <c r="I69" s="1269"/>
    </row>
    <row r="70" spans="1:9" ht="15">
      <c r="F70" s="1263"/>
    </row>
    <row r="71" spans="1:9" ht="15" hidden="1">
      <c r="A71" s="1244">
        <v>11.5</v>
      </c>
      <c r="B71" s="1270" t="s">
        <v>2271</v>
      </c>
      <c r="C71" s="1273"/>
      <c r="D71" s="1271"/>
      <c r="E71" s="1271"/>
      <c r="F71" s="1271"/>
    </row>
    <row r="72" spans="1:9" ht="15" hidden="1">
      <c r="B72" s="1272"/>
      <c r="C72" s="1273"/>
      <c r="D72" s="1271"/>
      <c r="E72" s="1271"/>
      <c r="F72" s="1271"/>
    </row>
    <row r="73" spans="1:9" ht="15" hidden="1">
      <c r="B73" s="1699" t="s">
        <v>2272</v>
      </c>
      <c r="C73" s="1699"/>
      <c r="D73" s="1699"/>
      <c r="E73" s="1271"/>
      <c r="F73" s="1271"/>
    </row>
    <row r="74" spans="1:9" ht="15" hidden="1">
      <c r="B74" s="1700" t="s">
        <v>2273</v>
      </c>
      <c r="C74" s="1700"/>
      <c r="D74" s="1700"/>
      <c r="E74" s="1271"/>
      <c r="F74" s="1271"/>
    </row>
    <row r="75" spans="1:9" ht="15" hidden="1">
      <c r="B75" s="1701" t="s">
        <v>2274</v>
      </c>
      <c r="C75" s="1701"/>
      <c r="D75" s="1701"/>
      <c r="E75" s="1271"/>
      <c r="F75" s="1271"/>
    </row>
    <row r="76" spans="1:9" ht="15" hidden="1">
      <c r="B76" s="1700" t="s">
        <v>1588</v>
      </c>
      <c r="C76" s="1700"/>
      <c r="D76" s="1700"/>
      <c r="E76" s="1271"/>
      <c r="F76" s="1271"/>
    </row>
    <row r="77" spans="1:9" ht="15" hidden="1">
      <c r="B77" s="1700" t="s">
        <v>364</v>
      </c>
      <c r="C77" s="1700"/>
      <c r="D77" s="1700"/>
      <c r="E77" s="1271"/>
      <c r="F77" s="1271"/>
    </row>
    <row r="78" spans="1:9" ht="15" hidden="1">
      <c r="B78" s="1700" t="s">
        <v>364</v>
      </c>
      <c r="C78" s="1700"/>
      <c r="D78" s="1700"/>
      <c r="E78" s="1271"/>
      <c r="F78" s="1271"/>
    </row>
    <row r="79" spans="1:9" ht="15" hidden="1">
      <c r="B79" s="1700" t="s">
        <v>2275</v>
      </c>
      <c r="C79" s="1700"/>
      <c r="D79" s="1700"/>
      <c r="E79" s="1271"/>
      <c r="F79" s="1271"/>
    </row>
    <row r="80" spans="1:9" ht="15" hidden="1">
      <c r="B80" s="1272"/>
      <c r="C80" s="1272"/>
      <c r="D80" s="1272"/>
      <c r="E80" s="1271"/>
      <c r="F80" s="1608"/>
    </row>
    <row r="81" spans="1:6" ht="15" hidden="1">
      <c r="B81" s="1700" t="s">
        <v>2276</v>
      </c>
      <c r="C81" s="1700"/>
      <c r="D81" s="1700"/>
      <c r="E81" s="1271"/>
      <c r="F81" s="1608"/>
    </row>
    <row r="82" spans="1:6" ht="15" hidden="1">
      <c r="B82" s="1272"/>
      <c r="C82" s="1273"/>
      <c r="D82" s="1271"/>
      <c r="E82" s="1271"/>
      <c r="F82" s="1271"/>
    </row>
    <row r="83" spans="1:6" ht="15" hidden="1">
      <c r="B83" s="1698" t="s">
        <v>2265</v>
      </c>
      <c r="C83" s="1698"/>
      <c r="D83" s="1698"/>
      <c r="F83" s="1263"/>
    </row>
    <row r="84" spans="1:6" ht="15" hidden="1">
      <c r="B84" s="1698" t="s">
        <v>2267</v>
      </c>
      <c r="C84" s="1698"/>
      <c r="D84" s="1698"/>
      <c r="F84" s="1263"/>
    </row>
    <row r="85" spans="1:6" ht="15" hidden="1">
      <c r="B85" s="1698" t="s">
        <v>2269</v>
      </c>
      <c r="C85" s="1698"/>
      <c r="D85" s="1698"/>
      <c r="F85" s="1263"/>
    </row>
    <row r="86" spans="1:6" ht="15.75" hidden="1" thickBot="1">
      <c r="F86" s="1629">
        <f>SUM(F83:F85)</f>
        <v>0</v>
      </c>
    </row>
    <row r="87" spans="1:6" ht="15" hidden="1">
      <c r="F87" s="1253"/>
    </row>
    <row r="88" spans="1:6" hidden="1">
      <c r="A88" s="1244">
        <v>11.6</v>
      </c>
      <c r="B88" s="1270" t="s">
        <v>2277</v>
      </c>
      <c r="F88" s="1274"/>
    </row>
    <row r="89" spans="1:6" hidden="1">
      <c r="F89" s="1274"/>
    </row>
    <row r="90" spans="1:6" ht="15" hidden="1">
      <c r="B90" s="1704" t="s">
        <v>2278</v>
      </c>
      <c r="C90" s="1704"/>
      <c r="D90" s="1704"/>
      <c r="F90" s="1263"/>
    </row>
    <row r="91" spans="1:6" ht="15" hidden="1">
      <c r="B91" s="1704" t="s">
        <v>2279</v>
      </c>
      <c r="C91" s="1704"/>
      <c r="D91" s="1704"/>
      <c r="F91" s="1263"/>
    </row>
    <row r="92" spans="1:6" ht="15" hidden="1">
      <c r="B92" s="1704" t="s">
        <v>2280</v>
      </c>
      <c r="C92" s="1704"/>
      <c r="D92" s="1704"/>
      <c r="F92" s="1263"/>
    </row>
    <row r="93" spans="1:6" ht="15" hidden="1">
      <c r="B93" s="1704" t="s">
        <v>2281</v>
      </c>
      <c r="C93" s="1704"/>
      <c r="D93" s="1704"/>
      <c r="F93" s="1263"/>
    </row>
    <row r="94" spans="1:6" ht="15.75" hidden="1" thickBot="1">
      <c r="F94" s="1629">
        <f>SUM(F90:F92)</f>
        <v>0</v>
      </c>
    </row>
    <row r="95" spans="1:6" hidden="1">
      <c r="F95" s="1630"/>
    </row>
    <row r="96" spans="1:6" ht="15" hidden="1">
      <c r="A96" s="1244">
        <v>11.7</v>
      </c>
      <c r="B96" s="1270" t="s">
        <v>2282</v>
      </c>
      <c r="C96" s="1273"/>
      <c r="D96" s="1253"/>
      <c r="E96" s="1253"/>
      <c r="F96" s="1271"/>
    </row>
    <row r="97" spans="2:6" ht="15" hidden="1">
      <c r="B97" s="1272"/>
      <c r="C97" s="1273"/>
      <c r="D97" s="1253"/>
      <c r="E97" s="1253"/>
      <c r="F97" s="1608"/>
    </row>
    <row r="98" spans="2:6" ht="15" hidden="1">
      <c r="B98" s="1702" t="s">
        <v>2283</v>
      </c>
      <c r="C98" s="1702"/>
      <c r="D98" s="1702"/>
      <c r="E98" s="1253"/>
      <c r="F98" s="1608"/>
    </row>
    <row r="99" spans="2:6" ht="15" hidden="1">
      <c r="B99" s="1700" t="s">
        <v>2266</v>
      </c>
      <c r="C99" s="1700"/>
      <c r="D99" s="1700"/>
      <c r="E99" s="1253"/>
      <c r="F99" s="1271"/>
    </row>
    <row r="100" spans="2:6" ht="15" hidden="1">
      <c r="B100" s="1272" t="s">
        <v>2284</v>
      </c>
      <c r="C100" s="1273"/>
      <c r="F100" s="1253"/>
    </row>
    <row r="101" spans="2:6" ht="15" hidden="1">
      <c r="B101" s="1272" t="s">
        <v>2285</v>
      </c>
      <c r="C101" s="1273"/>
      <c r="F101" s="1253"/>
    </row>
    <row r="102" spans="2:6" ht="15" hidden="1">
      <c r="B102" s="1272" t="s">
        <v>2268</v>
      </c>
      <c r="C102" s="1273"/>
      <c r="F102" s="1253"/>
    </row>
    <row r="103" spans="2:6" ht="15.75" hidden="1" thickBot="1">
      <c r="B103" s="1272"/>
      <c r="C103" s="1273"/>
      <c r="F103" s="1629">
        <f>SUM(F100:F102)</f>
        <v>0</v>
      </c>
    </row>
    <row r="104" spans="2:6" ht="15" hidden="1">
      <c r="B104" s="1272"/>
      <c r="C104" s="1273"/>
      <c r="F104" s="1253"/>
    </row>
    <row r="105" spans="2:6" ht="15" hidden="1">
      <c r="B105" s="1702" t="s">
        <v>2286</v>
      </c>
      <c r="C105" s="1702"/>
      <c r="D105" s="1702"/>
      <c r="F105" s="1253"/>
    </row>
    <row r="106" spans="2:6" ht="15" hidden="1">
      <c r="B106" s="1700" t="s">
        <v>2266</v>
      </c>
      <c r="C106" s="1700"/>
      <c r="D106" s="1700"/>
      <c r="F106" s="1253"/>
    </row>
    <row r="107" spans="2:6" ht="15" hidden="1">
      <c r="B107" s="1272" t="s">
        <v>2284</v>
      </c>
      <c r="C107" s="1273"/>
      <c r="F107" s="1253"/>
    </row>
    <row r="108" spans="2:6" ht="15" hidden="1">
      <c r="B108" s="1272" t="s">
        <v>2285</v>
      </c>
      <c r="C108" s="1273"/>
      <c r="F108" s="1253"/>
    </row>
    <row r="109" spans="2:6" ht="15" hidden="1">
      <c r="B109" s="1272" t="s">
        <v>2268</v>
      </c>
      <c r="C109" s="1273"/>
      <c r="F109" s="1253"/>
    </row>
    <row r="110" spans="2:6" ht="15.75" hidden="1" thickBot="1">
      <c r="B110" s="1272"/>
      <c r="C110" s="1273"/>
      <c r="F110" s="1629">
        <f>SUM(F107:F109)</f>
        <v>0</v>
      </c>
    </row>
    <row r="111" spans="2:6" ht="15">
      <c r="B111" s="1272"/>
      <c r="C111" s="1273"/>
      <c r="D111" s="1253"/>
      <c r="E111" s="1253"/>
      <c r="F111" s="1253"/>
    </row>
    <row r="112" spans="2:6" ht="15">
      <c r="B112" s="1272"/>
      <c r="C112" s="1273"/>
      <c r="D112" s="1253"/>
      <c r="E112" s="1253"/>
      <c r="F112" s="1253"/>
    </row>
    <row r="121" spans="3:9" ht="15">
      <c r="C121" s="1266"/>
      <c r="D121" s="1266"/>
      <c r="E121" s="1266"/>
      <c r="F121" s="1266"/>
      <c r="G121" s="1266"/>
      <c r="H121" s="1266"/>
      <c r="I121" s="1266"/>
    </row>
  </sheetData>
  <mergeCells count="27">
    <mergeCell ref="B98:D98"/>
    <mergeCell ref="B99:D99"/>
    <mergeCell ref="B105:D105"/>
    <mergeCell ref="B106:D106"/>
    <mergeCell ref="B68:H69"/>
    <mergeCell ref="B84:D84"/>
    <mergeCell ref="B85:D85"/>
    <mergeCell ref="B90:D90"/>
    <mergeCell ref="B91:D91"/>
    <mergeCell ref="B92:D92"/>
    <mergeCell ref="B93:D93"/>
    <mergeCell ref="B76:D76"/>
    <mergeCell ref="B77:D77"/>
    <mergeCell ref="B78:D78"/>
    <mergeCell ref="B79:D79"/>
    <mergeCell ref="B81:D81"/>
    <mergeCell ref="B83:D83"/>
    <mergeCell ref="B73:D73"/>
    <mergeCell ref="B74:D74"/>
    <mergeCell ref="B75:D75"/>
    <mergeCell ref="B38:I38"/>
    <mergeCell ref="B67:D67"/>
    <mergeCell ref="B2:I2"/>
    <mergeCell ref="B3:I3"/>
    <mergeCell ref="B33:D33"/>
    <mergeCell ref="B36:I36"/>
    <mergeCell ref="B37:I37"/>
  </mergeCells>
  <conditionalFormatting sqref="B62 B44 B28 B10 B3 B38:I38">
    <cfRule type="cellIs" dxfId="2" priority="2" stopIfTrue="1" operator="equal">
      <formula>"input financial year in cover sheet"</formula>
    </cfRule>
  </conditionalFormatting>
  <conditionalFormatting sqref="B36 B69">
    <cfRule type="cellIs" dxfId="1" priority="1" stopIfTrue="1" operator="equal">
      <formula>"Input name of municipality in cover sheet"</formula>
    </cfRule>
  </conditionalFormatting>
  <pageMargins left="0.70866141732283472" right="0.70866141732283472" top="0.74803149606299213" bottom="0.74803149606299213" header="0.31496062992125984" footer="0.31496062992125984"/>
  <pageSetup scale="54" orientation="portrait" horizontalDpi="300" verticalDpi="300" r:id="rId1"/>
  <headerFooter>
    <oddFooter>&amp;R&amp;P</oddFooter>
  </headerFooter>
</worksheet>
</file>

<file path=xl/worksheets/sheet12.xml><?xml version="1.0" encoding="utf-8"?>
<worksheet xmlns="http://schemas.openxmlformats.org/spreadsheetml/2006/main" xmlns:r="http://schemas.openxmlformats.org/officeDocument/2006/relationships">
  <sheetPr>
    <tabColor rgb="FF66FF66"/>
    <pageSetUpPr fitToPage="1"/>
  </sheetPr>
  <dimension ref="A1:L48"/>
  <sheetViews>
    <sheetView view="pageBreakPreview" zoomScaleSheetLayoutView="100" workbookViewId="0">
      <selection activeCell="C43" activeCellId="1" sqref="E18 C43"/>
    </sheetView>
  </sheetViews>
  <sheetFormatPr defaultRowHeight="12.75"/>
  <cols>
    <col min="1" max="1" width="3.5703125" style="912" bestFit="1" customWidth="1"/>
    <col min="2" max="2" width="43.28515625" style="871" customWidth="1"/>
    <col min="3" max="8" width="14.7109375" style="882" customWidth="1"/>
    <col min="9" max="9" width="3.7109375" style="871" customWidth="1"/>
    <col min="10" max="16384" width="9.140625" style="871"/>
  </cols>
  <sheetData>
    <row r="1" spans="1:9">
      <c r="A1" s="1705" t="s">
        <v>1349</v>
      </c>
      <c r="B1" s="1706"/>
      <c r="C1" s="1706"/>
      <c r="D1" s="1706"/>
      <c r="E1" s="1706"/>
      <c r="F1" s="1706"/>
      <c r="G1" s="1706"/>
      <c r="H1" s="1706"/>
      <c r="I1" s="870"/>
    </row>
    <row r="2" spans="1:9">
      <c r="A2" s="1707" t="s">
        <v>2075</v>
      </c>
      <c r="B2" s="1708"/>
      <c r="C2" s="1708"/>
      <c r="D2" s="1708"/>
      <c r="E2" s="1708"/>
      <c r="F2" s="1708"/>
      <c r="G2" s="1708"/>
      <c r="H2" s="1708"/>
      <c r="I2" s="872"/>
    </row>
    <row r="3" spans="1:9" s="874" customFormat="1" ht="15">
      <c r="A3" s="907" t="s">
        <v>1647</v>
      </c>
      <c r="B3" s="31" t="s">
        <v>321</v>
      </c>
      <c r="C3" s="71"/>
      <c r="D3" s="71"/>
      <c r="E3" s="71"/>
      <c r="F3" s="71"/>
      <c r="G3" s="71"/>
      <c r="H3" s="71"/>
      <c r="I3" s="873"/>
    </row>
    <row r="4" spans="1:9">
      <c r="A4" s="367"/>
      <c r="B4" s="135" t="s">
        <v>2287</v>
      </c>
      <c r="C4" s="51"/>
      <c r="D4" s="51"/>
      <c r="E4" s="51"/>
      <c r="F4" s="51"/>
      <c r="G4" s="51"/>
      <c r="H4" s="51"/>
      <c r="I4" s="872"/>
    </row>
    <row r="5" spans="1:9" s="30" customFormat="1" ht="25.5">
      <c r="A5" s="367"/>
      <c r="C5" s="61" t="s">
        <v>1635</v>
      </c>
      <c r="D5" s="61" t="s">
        <v>1636</v>
      </c>
      <c r="E5" s="61" t="s">
        <v>1637</v>
      </c>
      <c r="F5" s="61" t="s">
        <v>1638</v>
      </c>
      <c r="G5" s="61" t="s">
        <v>1638</v>
      </c>
      <c r="H5" s="61" t="s">
        <v>1108</v>
      </c>
      <c r="I5" s="875"/>
    </row>
    <row r="6" spans="1:9" s="30" customFormat="1">
      <c r="A6" s="367"/>
      <c r="C6" s="72" t="s">
        <v>1314</v>
      </c>
      <c r="D6" s="72" t="s">
        <v>1314</v>
      </c>
      <c r="E6" s="72" t="s">
        <v>1314</v>
      </c>
      <c r="F6" s="72" t="s">
        <v>1314</v>
      </c>
      <c r="G6" s="72" t="s">
        <v>1314</v>
      </c>
      <c r="H6" s="72" t="s">
        <v>1314</v>
      </c>
      <c r="I6" s="875"/>
    </row>
    <row r="7" spans="1:9" s="876" customFormat="1">
      <c r="A7" s="367"/>
      <c r="B7" s="33" t="s">
        <v>36</v>
      </c>
      <c r="C7" s="54"/>
      <c r="D7" s="54"/>
      <c r="E7" s="54"/>
      <c r="F7" s="54"/>
      <c r="G7" s="54"/>
      <c r="H7" s="54"/>
      <c r="I7" s="872"/>
    </row>
    <row r="8" spans="1:9" s="876" customFormat="1">
      <c r="A8" s="367"/>
      <c r="B8" s="33"/>
      <c r="C8" s="53"/>
      <c r="D8" s="53"/>
      <c r="E8" s="53"/>
      <c r="F8" s="53"/>
      <c r="G8" s="53"/>
      <c r="H8" s="53"/>
      <c r="I8" s="872"/>
    </row>
    <row r="9" spans="1:9" s="31" customFormat="1" hidden="1">
      <c r="A9" s="367"/>
      <c r="B9" s="33" t="s">
        <v>1850</v>
      </c>
      <c r="C9" s="77">
        <f>SUM(C10:C11)</f>
        <v>0</v>
      </c>
      <c r="D9" s="76">
        <v>562</v>
      </c>
      <c r="E9" s="77">
        <f>SUM(E10:E11)</f>
        <v>0</v>
      </c>
      <c r="F9" s="77">
        <f>SUM(F10:F11)</f>
        <v>0</v>
      </c>
      <c r="G9" s="77">
        <f>SUM(G10:G11)</f>
        <v>0</v>
      </c>
      <c r="H9" s="76">
        <f>SUM(C9:G9)</f>
        <v>562</v>
      </c>
      <c r="I9" s="877"/>
    </row>
    <row r="10" spans="1:9" s="876" customFormat="1" hidden="1">
      <c r="A10" s="367"/>
      <c r="B10" s="300" t="s">
        <v>538</v>
      </c>
      <c r="C10" s="78">
        <f>+C43</f>
        <v>0</v>
      </c>
      <c r="D10" s="55">
        <f>'App B(1)'!B30</f>
        <v>700</v>
      </c>
      <c r="E10" s="78">
        <f>+E43</f>
        <v>0</v>
      </c>
      <c r="F10" s="78">
        <f>+F43</f>
        <v>0</v>
      </c>
      <c r="G10" s="78">
        <f>+G43</f>
        <v>0</v>
      </c>
      <c r="H10" s="55">
        <f>SUM(C10:G10)</f>
        <v>700</v>
      </c>
      <c r="I10" s="872"/>
    </row>
    <row r="11" spans="1:9" s="876" customFormat="1" hidden="1">
      <c r="A11" s="367"/>
      <c r="B11" s="300" t="s">
        <v>1639</v>
      </c>
      <c r="C11" s="79">
        <f>+C44</f>
        <v>0</v>
      </c>
      <c r="D11" s="53">
        <f>D9-D10</f>
        <v>-138</v>
      </c>
      <c r="E11" s="79">
        <v>0</v>
      </c>
      <c r="F11" s="79">
        <f>+F44</f>
        <v>0</v>
      </c>
      <c r="G11" s="79">
        <f>+G44</f>
        <v>0</v>
      </c>
      <c r="H11" s="54">
        <f>SUM(C11:G11)</f>
        <v>-138</v>
      </c>
      <c r="I11" s="872"/>
    </row>
    <row r="12" spans="1:9" s="876" customFormat="1" hidden="1">
      <c r="A12" s="367"/>
      <c r="B12" s="56" t="s">
        <v>1640</v>
      </c>
      <c r="C12" s="78">
        <v>0</v>
      </c>
      <c r="D12" s="55">
        <v>0</v>
      </c>
      <c r="E12" s="78">
        <v>0</v>
      </c>
      <c r="F12" s="78">
        <v>0</v>
      </c>
      <c r="G12" s="78">
        <v>0</v>
      </c>
      <c r="H12" s="55">
        <v>0</v>
      </c>
      <c r="I12" s="872"/>
    </row>
    <row r="13" spans="1:9" s="876" customFormat="1" hidden="1">
      <c r="A13" s="367"/>
      <c r="B13" s="56" t="s">
        <v>1641</v>
      </c>
      <c r="C13" s="79">
        <v>0</v>
      </c>
      <c r="D13" s="53">
        <v>0</v>
      </c>
      <c r="E13" s="79">
        <v>0</v>
      </c>
      <c r="F13" s="79">
        <v>0</v>
      </c>
      <c r="G13" s="79">
        <v>0</v>
      </c>
      <c r="H13" s="53">
        <v>0</v>
      </c>
      <c r="I13" s="872"/>
    </row>
    <row r="14" spans="1:9" s="876" customFormat="1" hidden="1">
      <c r="A14" s="367"/>
      <c r="B14" s="56" t="s">
        <v>1642</v>
      </c>
      <c r="C14" s="79">
        <v>0</v>
      </c>
      <c r="D14" s="53">
        <v>0</v>
      </c>
      <c r="E14" s="79">
        <v>0</v>
      </c>
      <c r="F14" s="79">
        <v>0</v>
      </c>
      <c r="G14" s="79">
        <v>0</v>
      </c>
      <c r="H14" s="53">
        <f>SUM(C14:G14)</f>
        <v>0</v>
      </c>
      <c r="I14" s="872"/>
    </row>
    <row r="15" spans="1:9" s="876" customFormat="1" hidden="1">
      <c r="A15" s="367"/>
      <c r="B15" s="56" t="s">
        <v>1643</v>
      </c>
      <c r="C15" s="79">
        <v>0</v>
      </c>
      <c r="D15" s="53">
        <v>0</v>
      </c>
      <c r="E15" s="79">
        <v>0</v>
      </c>
      <c r="F15" s="79">
        <v>0</v>
      </c>
      <c r="G15" s="79">
        <v>0</v>
      </c>
      <c r="H15" s="53">
        <f>SUM(C15:G15)</f>
        <v>0</v>
      </c>
      <c r="I15" s="872"/>
    </row>
    <row r="16" spans="1:9" s="876" customFormat="1" hidden="1">
      <c r="A16" s="367"/>
      <c r="B16" s="94" t="s">
        <v>2032</v>
      </c>
      <c r="C16" s="79"/>
      <c r="D16" s="53">
        <f>'App B(1)'!D29</f>
        <v>423376.42</v>
      </c>
      <c r="E16" s="79"/>
      <c r="F16" s="79"/>
      <c r="G16" s="79"/>
      <c r="H16" s="53">
        <f>SUM(D16:G16)</f>
        <v>423376.42</v>
      </c>
      <c r="I16" s="872"/>
    </row>
    <row r="17" spans="1:12" s="876" customFormat="1" hidden="1">
      <c r="A17" s="367"/>
      <c r="B17" s="56" t="s">
        <v>1644</v>
      </c>
      <c r="C17" s="79">
        <v>0</v>
      </c>
      <c r="D17" s="53">
        <v>0</v>
      </c>
      <c r="E17" s="79">
        <v>0</v>
      </c>
      <c r="F17" s="79">
        <v>0</v>
      </c>
      <c r="G17" s="79">
        <v>0</v>
      </c>
      <c r="H17" s="53">
        <f>SUM(C17:G17)</f>
        <v>0</v>
      </c>
      <c r="I17" s="872"/>
    </row>
    <row r="18" spans="1:12" s="876" customFormat="1" hidden="1">
      <c r="A18" s="367"/>
      <c r="B18" s="56" t="s">
        <v>1568</v>
      </c>
      <c r="C18" s="79">
        <v>0</v>
      </c>
      <c r="D18" s="53">
        <v>0</v>
      </c>
      <c r="E18" s="79">
        <v>0</v>
      </c>
      <c r="F18" s="79">
        <v>0</v>
      </c>
      <c r="G18" s="79">
        <v>0</v>
      </c>
      <c r="H18" s="53">
        <f>SUM(C18:G18)</f>
        <v>0</v>
      </c>
      <c r="I18" s="872"/>
    </row>
    <row r="19" spans="1:12" s="876" customFormat="1" hidden="1">
      <c r="A19" s="367"/>
      <c r="B19" s="56" t="s">
        <v>1645</v>
      </c>
      <c r="C19" s="79">
        <v>0</v>
      </c>
      <c r="D19" s="53">
        <v>0</v>
      </c>
      <c r="E19" s="79">
        <v>0</v>
      </c>
      <c r="F19" s="79">
        <v>0</v>
      </c>
      <c r="G19" s="79">
        <v>0</v>
      </c>
      <c r="H19" s="53">
        <v>0</v>
      </c>
      <c r="I19" s="872"/>
    </row>
    <row r="20" spans="1:12" s="876" customFormat="1" hidden="1">
      <c r="A20" s="367"/>
      <c r="B20" s="56" t="s">
        <v>1351</v>
      </c>
      <c r="C20" s="75">
        <v>0</v>
      </c>
      <c r="D20" s="54">
        <v>0</v>
      </c>
      <c r="E20" s="75">
        <v>0</v>
      </c>
      <c r="F20" s="75">
        <v>0</v>
      </c>
      <c r="G20" s="75">
        <v>0</v>
      </c>
      <c r="H20" s="53">
        <f>SUM(C20:G20)</f>
        <v>0</v>
      </c>
      <c r="I20" s="872"/>
    </row>
    <row r="21" spans="1:12" s="876" customFormat="1" hidden="1">
      <c r="A21" s="367"/>
      <c r="B21" s="300" t="s">
        <v>538</v>
      </c>
      <c r="C21" s="78">
        <v>0</v>
      </c>
      <c r="D21" s="55">
        <v>0</v>
      </c>
      <c r="E21" s="78">
        <v>0</v>
      </c>
      <c r="F21" s="78">
        <v>0</v>
      </c>
      <c r="G21" s="132">
        <v>0</v>
      </c>
      <c r="H21" s="55">
        <v>0</v>
      </c>
      <c r="I21" s="872"/>
    </row>
    <row r="22" spans="1:12" s="876" customFormat="1" hidden="1">
      <c r="A22" s="367"/>
      <c r="B22" s="908" t="s">
        <v>2036</v>
      </c>
      <c r="C22" s="79"/>
      <c r="D22" s="53">
        <f>'App B(1)'!K29</f>
        <v>110580</v>
      </c>
      <c r="E22" s="79"/>
      <c r="F22" s="79"/>
      <c r="G22" s="63"/>
      <c r="H22" s="53">
        <f>SUM(C22:G22)</f>
        <v>110580</v>
      </c>
      <c r="I22" s="872"/>
    </row>
    <row r="23" spans="1:12" s="876" customFormat="1" hidden="1">
      <c r="A23" s="367"/>
      <c r="B23" s="300" t="s">
        <v>1639</v>
      </c>
      <c r="C23" s="75">
        <v>0</v>
      </c>
      <c r="D23" s="54">
        <f>-'App B(1)'!J36</f>
        <v>-141263.74000000002</v>
      </c>
      <c r="E23" s="75">
        <v>0</v>
      </c>
      <c r="F23" s="75">
        <v>0</v>
      </c>
      <c r="G23" s="133">
        <v>0</v>
      </c>
      <c r="H23" s="54">
        <f>SUM(C23:G23)</f>
        <v>-141263.74000000002</v>
      </c>
      <c r="I23" s="872"/>
    </row>
    <row r="24" spans="1:12" s="31" customFormat="1">
      <c r="A24" s="367"/>
      <c r="B24" s="33" t="s">
        <v>1851</v>
      </c>
      <c r="C24" s="80">
        <f>C25+C26</f>
        <v>0</v>
      </c>
      <c r="D24" s="35">
        <v>172094.46</v>
      </c>
      <c r="E24" s="80">
        <f>E25+E26</f>
        <v>0</v>
      </c>
      <c r="F24" s="80">
        <f>F25+F26</f>
        <v>0</v>
      </c>
      <c r="G24" s="80">
        <f>G25+G26</f>
        <v>0</v>
      </c>
      <c r="H24" s="35">
        <f>SUM(D24)</f>
        <v>172094.46</v>
      </c>
      <c r="I24" s="877"/>
    </row>
    <row r="25" spans="1:12" s="876" customFormat="1">
      <c r="A25" s="367"/>
      <c r="B25" s="56" t="s">
        <v>538</v>
      </c>
      <c r="C25" s="78">
        <v>0</v>
      </c>
      <c r="D25" s="55">
        <f>'App B(1)'!G36</f>
        <v>424076.42</v>
      </c>
      <c r="E25" s="78">
        <v>0</v>
      </c>
      <c r="F25" s="78">
        <v>0</v>
      </c>
      <c r="G25" s="78">
        <v>0</v>
      </c>
      <c r="H25" s="55">
        <f>SUM(C25:G25)</f>
        <v>424076.42</v>
      </c>
      <c r="I25" s="872"/>
      <c r="L25" s="126"/>
    </row>
    <row r="26" spans="1:12" s="876" customFormat="1">
      <c r="A26" s="367"/>
      <c r="B26" s="56" t="s">
        <v>1639</v>
      </c>
      <c r="C26" s="75">
        <v>0</v>
      </c>
      <c r="D26" s="54">
        <f>-'App B(1)'!M36</f>
        <v>-251981.74000000002</v>
      </c>
      <c r="E26" s="75">
        <v>0</v>
      </c>
      <c r="F26" s="75">
        <v>0</v>
      </c>
      <c r="G26" s="75">
        <v>0</v>
      </c>
      <c r="H26" s="54">
        <f>SUM(D26)</f>
        <v>-251981.74000000002</v>
      </c>
      <c r="I26" s="872"/>
    </row>
    <row r="27" spans="1:12" s="876" customFormat="1">
      <c r="A27" s="367"/>
      <c r="B27" s="56"/>
      <c r="C27" s="52"/>
      <c r="D27" s="51"/>
      <c r="E27" s="52"/>
      <c r="F27" s="52"/>
      <c r="G27" s="52"/>
      <c r="H27" s="51"/>
      <c r="I27" s="872"/>
    </row>
    <row r="28" spans="1:12" s="876" customFormat="1">
      <c r="A28" s="367"/>
      <c r="B28" s="33" t="s">
        <v>36</v>
      </c>
      <c r="C28" s="52"/>
      <c r="D28" s="51"/>
      <c r="E28" s="52"/>
      <c r="F28" s="52"/>
      <c r="G28" s="52"/>
      <c r="H28" s="51"/>
      <c r="I28" s="872"/>
    </row>
    <row r="29" spans="1:12" s="876" customFormat="1">
      <c r="A29" s="367"/>
      <c r="B29" s="33" t="s">
        <v>2106</v>
      </c>
      <c r="C29" s="77">
        <f>SUM(C30:C31)</f>
        <v>0</v>
      </c>
      <c r="D29" s="76">
        <f>D24</f>
        <v>172094.46</v>
      </c>
      <c r="E29" s="77">
        <v>0</v>
      </c>
      <c r="F29" s="77">
        <f>SUM(F30:F31)</f>
        <v>0</v>
      </c>
      <c r="G29" s="77">
        <f>SUM(G30:G31)</f>
        <v>0</v>
      </c>
      <c r="H29" s="76">
        <f t="shared" ref="H29:H41" si="0">SUM(C29:G29)</f>
        <v>172094.46</v>
      </c>
      <c r="I29" s="872"/>
    </row>
    <row r="30" spans="1:12" s="876" customFormat="1">
      <c r="A30" s="367"/>
      <c r="B30" s="300" t="s">
        <v>538</v>
      </c>
      <c r="C30" s="78">
        <v>0</v>
      </c>
      <c r="D30" s="55">
        <v>0</v>
      </c>
      <c r="E30" s="78">
        <v>0</v>
      </c>
      <c r="F30" s="78">
        <v>0</v>
      </c>
      <c r="G30" s="78">
        <v>0</v>
      </c>
      <c r="H30" s="55">
        <f t="shared" si="0"/>
        <v>0</v>
      </c>
      <c r="I30" s="872"/>
    </row>
    <row r="31" spans="1:12" s="876" customFormat="1">
      <c r="A31" s="367"/>
      <c r="B31" s="300" t="s">
        <v>1646</v>
      </c>
      <c r="C31" s="79">
        <v>0</v>
      </c>
      <c r="D31" s="53">
        <v>0</v>
      </c>
      <c r="E31" s="79">
        <v>0</v>
      </c>
      <c r="F31" s="79">
        <v>0</v>
      </c>
      <c r="G31" s="79">
        <v>0</v>
      </c>
      <c r="H31" s="54">
        <f t="shared" si="0"/>
        <v>0</v>
      </c>
      <c r="I31" s="872"/>
    </row>
    <row r="32" spans="1:12" s="876" customFormat="1">
      <c r="A32" s="367"/>
      <c r="B32" s="56" t="s">
        <v>1640</v>
      </c>
      <c r="C32" s="78">
        <v>0</v>
      </c>
      <c r="D32" s="55">
        <v>0</v>
      </c>
      <c r="E32" s="78">
        <v>0</v>
      </c>
      <c r="F32" s="78">
        <v>0</v>
      </c>
      <c r="G32" s="78">
        <v>0</v>
      </c>
      <c r="H32" s="55">
        <f t="shared" si="0"/>
        <v>0</v>
      </c>
      <c r="I32" s="872"/>
    </row>
    <row r="33" spans="1:9" s="876" customFormat="1">
      <c r="A33" s="367"/>
      <c r="B33" s="56" t="s">
        <v>1641</v>
      </c>
      <c r="C33" s="79">
        <v>0</v>
      </c>
      <c r="D33" s="53">
        <v>0</v>
      </c>
      <c r="E33" s="79">
        <v>0</v>
      </c>
      <c r="F33" s="79">
        <v>0</v>
      </c>
      <c r="G33" s="79">
        <v>0</v>
      </c>
      <c r="H33" s="53">
        <f t="shared" si="0"/>
        <v>0</v>
      </c>
      <c r="I33" s="872"/>
    </row>
    <row r="34" spans="1:9" s="876" customFormat="1">
      <c r="A34" s="367"/>
      <c r="B34" s="56" t="s">
        <v>1642</v>
      </c>
      <c r="C34" s="79">
        <v>0</v>
      </c>
      <c r="D34" s="53">
        <v>0</v>
      </c>
      <c r="E34" s="79">
        <v>0</v>
      </c>
      <c r="F34" s="79">
        <v>0</v>
      </c>
      <c r="G34" s="79">
        <v>0</v>
      </c>
      <c r="H34" s="53">
        <f t="shared" si="0"/>
        <v>0</v>
      </c>
      <c r="I34" s="872"/>
    </row>
    <row r="35" spans="1:9" s="876" customFormat="1">
      <c r="A35" s="367"/>
      <c r="B35" s="56" t="s">
        <v>1568</v>
      </c>
      <c r="C35" s="79">
        <v>0</v>
      </c>
      <c r="D35" s="53">
        <v>0</v>
      </c>
      <c r="E35" s="79">
        <v>0</v>
      </c>
      <c r="F35" s="79">
        <v>0</v>
      </c>
      <c r="G35" s="79">
        <v>0</v>
      </c>
      <c r="H35" s="53">
        <f t="shared" si="0"/>
        <v>0</v>
      </c>
      <c r="I35" s="872"/>
    </row>
    <row r="36" spans="1:9" s="876" customFormat="1">
      <c r="A36" s="367"/>
      <c r="B36" s="56" t="s">
        <v>1643</v>
      </c>
      <c r="C36" s="79">
        <v>0</v>
      </c>
      <c r="D36" s="53">
        <v>0</v>
      </c>
      <c r="E36" s="79">
        <v>0</v>
      </c>
      <c r="F36" s="79">
        <v>0</v>
      </c>
      <c r="G36" s="79">
        <v>0</v>
      </c>
      <c r="H36" s="53">
        <f t="shared" si="0"/>
        <v>0</v>
      </c>
      <c r="I36" s="872"/>
    </row>
    <row r="37" spans="1:9" s="876" customFormat="1">
      <c r="A37" s="367"/>
      <c r="B37" s="56" t="s">
        <v>1644</v>
      </c>
      <c r="C37" s="79">
        <v>0</v>
      </c>
      <c r="D37" s="53">
        <v>0</v>
      </c>
      <c r="E37" s="79">
        <v>0</v>
      </c>
      <c r="F37" s="79">
        <v>0</v>
      </c>
      <c r="G37" s="79">
        <v>0</v>
      </c>
      <c r="H37" s="53">
        <f t="shared" si="0"/>
        <v>0</v>
      </c>
      <c r="I37" s="872"/>
    </row>
    <row r="38" spans="1:9" s="876" customFormat="1">
      <c r="A38" s="367"/>
      <c r="B38" s="56" t="s">
        <v>1351</v>
      </c>
      <c r="C38" s="75">
        <v>0</v>
      </c>
      <c r="D38" s="54">
        <v>0</v>
      </c>
      <c r="E38" s="75">
        <v>0</v>
      </c>
      <c r="F38" s="75">
        <v>0</v>
      </c>
      <c r="G38" s="75">
        <v>0</v>
      </c>
      <c r="H38" s="54">
        <f t="shared" si="0"/>
        <v>0</v>
      </c>
      <c r="I38" s="872"/>
    </row>
    <row r="39" spans="1:9" s="876" customFormat="1">
      <c r="A39" s="367"/>
      <c r="B39" s="300" t="s">
        <v>538</v>
      </c>
      <c r="C39" s="78">
        <v>0</v>
      </c>
      <c r="D39" s="55">
        <v>0</v>
      </c>
      <c r="E39" s="78">
        <v>0</v>
      </c>
      <c r="F39" s="78">
        <v>0</v>
      </c>
      <c r="G39" s="78">
        <v>0</v>
      </c>
      <c r="H39" s="55">
        <f t="shared" si="0"/>
        <v>0</v>
      </c>
      <c r="I39" s="872"/>
    </row>
    <row r="40" spans="1:9" s="876" customFormat="1">
      <c r="A40" s="367"/>
      <c r="B40" s="300" t="s">
        <v>1639</v>
      </c>
      <c r="C40" s="75">
        <v>0</v>
      </c>
      <c r="D40" s="54">
        <v>0</v>
      </c>
      <c r="E40" s="75">
        <v>0</v>
      </c>
      <c r="F40" s="75">
        <v>0</v>
      </c>
      <c r="G40" s="75">
        <v>0</v>
      </c>
      <c r="H40" s="54">
        <f t="shared" si="0"/>
        <v>0</v>
      </c>
      <c r="I40" s="872"/>
    </row>
    <row r="41" spans="1:9" s="876" customFormat="1">
      <c r="A41" s="367"/>
      <c r="B41" s="56" t="s">
        <v>1352</v>
      </c>
      <c r="C41" s="79">
        <v>0</v>
      </c>
      <c r="D41" s="53">
        <v>0</v>
      </c>
      <c r="E41" s="79">
        <v>0</v>
      </c>
      <c r="F41" s="79">
        <v>0</v>
      </c>
      <c r="G41" s="79"/>
      <c r="H41" s="53">
        <f t="shared" si="0"/>
        <v>0</v>
      </c>
      <c r="I41" s="872"/>
    </row>
    <row r="42" spans="1:9" s="31" customFormat="1">
      <c r="A42" s="367"/>
      <c r="B42" s="33" t="s">
        <v>2103</v>
      </c>
      <c r="C42" s="78">
        <v>0</v>
      </c>
      <c r="D42" s="55">
        <f>'App B(1)'!O67</f>
        <v>86680.959999999992</v>
      </c>
      <c r="E42" s="78">
        <f>E43+E44</f>
        <v>0</v>
      </c>
      <c r="F42" s="78">
        <f>F43+F44</f>
        <v>0</v>
      </c>
      <c r="G42" s="78">
        <f>G43+G44</f>
        <v>0</v>
      </c>
      <c r="H42" s="55">
        <f>H43+H44</f>
        <v>86680.959999999992</v>
      </c>
      <c r="I42" s="877"/>
    </row>
    <row r="43" spans="1:9" s="876" customFormat="1">
      <c r="A43" s="367"/>
      <c r="B43" s="56" t="s">
        <v>538</v>
      </c>
      <c r="C43" s="78">
        <v>0</v>
      </c>
      <c r="D43" s="55">
        <f>'App B(1)'!G67</f>
        <v>157561.02000000002</v>
      </c>
      <c r="E43" s="78">
        <f>E30+E32+E39+E41</f>
        <v>0</v>
      </c>
      <c r="F43" s="78">
        <f>F30+F32+F39+F41</f>
        <v>0</v>
      </c>
      <c r="G43" s="78">
        <f>G30+G32+G39+G41</f>
        <v>0</v>
      </c>
      <c r="H43" s="55">
        <f>SUM(D43)</f>
        <v>157561.02000000002</v>
      </c>
      <c r="I43" s="872"/>
    </row>
    <row r="44" spans="1:9" s="876" customFormat="1">
      <c r="A44" s="367"/>
      <c r="B44" s="56" t="s">
        <v>1639</v>
      </c>
      <c r="C44" s="75">
        <v>0</v>
      </c>
      <c r="D44" s="54">
        <f>-'App B(1)'!M67</f>
        <v>-70880.060000000027</v>
      </c>
      <c r="E44" s="75">
        <f>E40+E35+E31</f>
        <v>0</v>
      </c>
      <c r="F44" s="75">
        <f>F40+F35+F31</f>
        <v>0</v>
      </c>
      <c r="G44" s="75">
        <f>G40+G35+G31</f>
        <v>0</v>
      </c>
      <c r="H44" s="54">
        <f>SUM(D44)</f>
        <v>-70880.060000000027</v>
      </c>
      <c r="I44" s="872"/>
    </row>
    <row r="45" spans="1:9" s="876" customFormat="1">
      <c r="A45" s="367"/>
      <c r="B45" s="56"/>
      <c r="C45" s="52"/>
      <c r="D45" s="51"/>
      <c r="E45" s="52"/>
      <c r="F45" s="52"/>
      <c r="G45" s="52"/>
      <c r="H45" s="51"/>
      <c r="I45" s="872"/>
    </row>
    <row r="46" spans="1:9" s="876" customFormat="1">
      <c r="A46" s="367"/>
      <c r="B46" s="56"/>
      <c r="C46" s="73"/>
      <c r="D46" s="51"/>
      <c r="E46" s="73"/>
      <c r="F46" s="73"/>
      <c r="G46" s="73"/>
      <c r="H46" s="51"/>
      <c r="I46" s="872"/>
    </row>
    <row r="47" spans="1:9">
      <c r="A47" s="367"/>
      <c r="B47" s="876"/>
      <c r="C47" s="51"/>
      <c r="D47" s="51"/>
      <c r="E47" s="51"/>
      <c r="F47" s="51"/>
      <c r="G47" s="51"/>
      <c r="H47" s="51"/>
      <c r="I47" s="872"/>
    </row>
    <row r="48" spans="1:9" ht="13.5" thickBot="1">
      <c r="A48" s="878"/>
      <c r="B48" s="879"/>
      <c r="C48" s="880"/>
      <c r="D48" s="880"/>
      <c r="E48" s="880"/>
      <c r="F48" s="880"/>
      <c r="G48" s="880"/>
      <c r="H48" s="880"/>
      <c r="I48" s="881"/>
    </row>
  </sheetData>
  <mergeCells count="2">
    <mergeCell ref="A1:H1"/>
    <mergeCell ref="A2:H2"/>
  </mergeCells>
  <printOptions horizontalCentered="1"/>
  <pageMargins left="0.70866141732283472" right="0.70866141732283472" top="0.74803149606299213" bottom="0.74803149606299213" header="0.31496062992125984" footer="0.31496062992125984"/>
  <pageSetup paperSize="9" scale="94"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sheetPr>
    <tabColor rgb="FF66FF66"/>
    <pageSetUpPr fitToPage="1"/>
  </sheetPr>
  <dimension ref="A1:I46"/>
  <sheetViews>
    <sheetView view="pageBreakPreview" zoomScaleSheetLayoutView="100" workbookViewId="0">
      <selection activeCell="B19" sqref="B19"/>
    </sheetView>
  </sheetViews>
  <sheetFormatPr defaultRowHeight="12.75"/>
  <cols>
    <col min="1" max="1" width="4" style="911" bestFit="1" customWidth="1"/>
    <col min="2" max="2" width="58.42578125" style="313" bestFit="1" customWidth="1"/>
    <col min="3" max="8" width="14.7109375" style="334" customWidth="1"/>
    <col min="9" max="9" width="3.140625" style="313" customWidth="1"/>
    <col min="10" max="16384" width="9.140625" style="313"/>
  </cols>
  <sheetData>
    <row r="1" spans="1:9">
      <c r="A1" s="1662" t="s">
        <v>1349</v>
      </c>
      <c r="B1" s="1663"/>
      <c r="C1" s="1663"/>
      <c r="D1" s="1663"/>
      <c r="E1" s="1663"/>
      <c r="F1" s="1663"/>
      <c r="G1" s="1663"/>
      <c r="H1" s="1663"/>
      <c r="I1" s="498"/>
    </row>
    <row r="2" spans="1:9">
      <c r="A2" s="1709" t="s">
        <v>2075</v>
      </c>
      <c r="B2" s="1695"/>
      <c r="C2" s="1695"/>
      <c r="D2" s="1695"/>
      <c r="E2" s="1695"/>
      <c r="F2" s="1695"/>
      <c r="G2" s="1695"/>
      <c r="H2" s="1695"/>
      <c r="I2" s="499"/>
    </row>
    <row r="3" spans="1:9">
      <c r="A3" s="1189" t="s">
        <v>1671</v>
      </c>
      <c r="B3" s="135" t="s">
        <v>1224</v>
      </c>
      <c r="C3" s="317"/>
      <c r="D3" s="317"/>
      <c r="E3" s="317"/>
      <c r="F3" s="317"/>
      <c r="G3" s="317"/>
      <c r="H3" s="317"/>
      <c r="I3" s="499"/>
    </row>
    <row r="4" spans="1:9" ht="13.5" thickBot="1">
      <c r="A4" s="902"/>
      <c r="B4" s="128" t="s">
        <v>2287</v>
      </c>
      <c r="C4" s="317"/>
      <c r="D4" s="317"/>
      <c r="E4" s="317"/>
      <c r="F4" s="317"/>
      <c r="G4" s="317"/>
      <c r="H4" s="317"/>
      <c r="I4" s="499"/>
    </row>
    <row r="5" spans="1:9" s="903" customFormat="1" ht="13.5" thickTop="1">
      <c r="A5" s="902"/>
      <c r="B5" s="492"/>
      <c r="C5" s="493" t="s">
        <v>36</v>
      </c>
      <c r="D5" s="493"/>
      <c r="E5" s="493" t="s">
        <v>36</v>
      </c>
      <c r="F5" s="493" t="s">
        <v>36</v>
      </c>
      <c r="G5" s="493" t="s">
        <v>36</v>
      </c>
      <c r="H5" s="494" t="s">
        <v>1108</v>
      </c>
      <c r="I5" s="904"/>
    </row>
    <row r="6" spans="1:9" s="903" customFormat="1">
      <c r="A6" s="902"/>
      <c r="B6" s="495"/>
      <c r="C6" s="906" t="s">
        <v>1314</v>
      </c>
      <c r="D6" s="906" t="s">
        <v>1314</v>
      </c>
      <c r="E6" s="906" t="s">
        <v>1314</v>
      </c>
      <c r="F6" s="906" t="s">
        <v>1314</v>
      </c>
      <c r="G6" s="906" t="s">
        <v>1314</v>
      </c>
      <c r="H6" s="496" t="s">
        <v>1314</v>
      </c>
      <c r="I6" s="904"/>
    </row>
    <row r="7" spans="1:9" s="909" customFormat="1" ht="13.5" thickBot="1">
      <c r="A7" s="902"/>
      <c r="B7" s="497" t="s">
        <v>36</v>
      </c>
      <c r="C7" s="500"/>
      <c r="D7" s="500"/>
      <c r="E7" s="500"/>
      <c r="F7" s="500"/>
      <c r="G7" s="500"/>
      <c r="H7" s="501"/>
      <c r="I7" s="499"/>
    </row>
    <row r="8" spans="1:9" s="135" customFormat="1" ht="36" customHeight="1" thickTop="1" thickBot="1">
      <c r="A8" s="902"/>
      <c r="B8" s="488" t="s">
        <v>1850</v>
      </c>
      <c r="C8" s="489">
        <v>0</v>
      </c>
      <c r="D8" s="489">
        <f>SUM(D9)</f>
        <v>49530850</v>
      </c>
      <c r="E8" s="489">
        <v>0</v>
      </c>
      <c r="F8" s="489">
        <v>0</v>
      </c>
      <c r="G8" s="489">
        <v>0</v>
      </c>
      <c r="H8" s="489">
        <f t="shared" ref="H8:H11" si="0">SUM(C8:G8)</f>
        <v>49530850</v>
      </c>
      <c r="I8" s="223"/>
    </row>
    <row r="9" spans="1:9" s="909" customFormat="1" ht="36" customHeight="1" thickTop="1">
      <c r="A9" s="902"/>
      <c r="B9" s="502" t="s">
        <v>538</v>
      </c>
      <c r="C9" s="338">
        <v>0</v>
      </c>
      <c r="D9" s="338">
        <v>49530850</v>
      </c>
      <c r="E9" s="338">
        <v>0</v>
      </c>
      <c r="F9" s="338">
        <v>0</v>
      </c>
      <c r="G9" s="338">
        <v>0</v>
      </c>
      <c r="H9" s="338">
        <f t="shared" si="0"/>
        <v>49530850</v>
      </c>
      <c r="I9" s="499"/>
    </row>
    <row r="10" spans="1:9" s="909" customFormat="1" ht="36" customHeight="1">
      <c r="A10" s="902"/>
      <c r="B10" s="503" t="s">
        <v>539</v>
      </c>
      <c r="C10" s="333"/>
      <c r="D10" s="333">
        <v>218000</v>
      </c>
      <c r="E10" s="333"/>
      <c r="F10" s="333"/>
      <c r="G10" s="333"/>
      <c r="H10" s="333">
        <v>218000</v>
      </c>
      <c r="I10" s="499"/>
    </row>
    <row r="11" spans="1:9" s="909" customFormat="1" ht="36" customHeight="1" thickBot="1">
      <c r="A11" s="902"/>
      <c r="B11" s="263" t="s">
        <v>1351</v>
      </c>
      <c r="C11" s="319">
        <v>0</v>
      </c>
      <c r="D11" s="319">
        <f>'App B (2)'!E21</f>
        <v>14042850</v>
      </c>
      <c r="E11" s="319"/>
      <c r="F11" s="319">
        <v>0</v>
      </c>
      <c r="G11" s="319">
        <v>0</v>
      </c>
      <c r="H11" s="319">
        <f t="shared" si="0"/>
        <v>14042850</v>
      </c>
      <c r="I11" s="499"/>
    </row>
    <row r="12" spans="1:9" s="135" customFormat="1" ht="36" customHeight="1" thickTop="1" thickBot="1">
      <c r="A12" s="902"/>
      <c r="B12" s="365" t="s">
        <v>1851</v>
      </c>
      <c r="C12" s="366">
        <v>0</v>
      </c>
      <c r="D12" s="366">
        <f>D9+D10-D11</f>
        <v>35706000</v>
      </c>
      <c r="E12" s="366">
        <f>E9+E10-E11</f>
        <v>0</v>
      </c>
      <c r="F12" s="366">
        <f>F13+F14</f>
        <v>0</v>
      </c>
      <c r="G12" s="366">
        <f>G13+G14</f>
        <v>0</v>
      </c>
      <c r="H12" s="366">
        <f>SUM(D12)</f>
        <v>35706000</v>
      </c>
      <c r="I12" s="223"/>
    </row>
    <row r="13" spans="1:9" s="909" customFormat="1" ht="36" customHeight="1" thickTop="1">
      <c r="A13" s="902"/>
      <c r="B13" s="326" t="s">
        <v>538</v>
      </c>
      <c r="C13" s="338">
        <v>0</v>
      </c>
      <c r="D13" s="338">
        <f>'App B (2)'!F24</f>
        <v>35706000</v>
      </c>
      <c r="E13" s="338">
        <v>0</v>
      </c>
      <c r="F13" s="338">
        <f t="shared" ref="F13:G13" si="1">+F20</f>
        <v>0</v>
      </c>
      <c r="G13" s="338">
        <f t="shared" si="1"/>
        <v>0</v>
      </c>
      <c r="H13" s="338">
        <f>SUM(C13:G13)</f>
        <v>35706000</v>
      </c>
      <c r="I13" s="499"/>
    </row>
    <row r="14" spans="1:9" s="909" customFormat="1" ht="36" customHeight="1">
      <c r="A14" s="902"/>
      <c r="B14" s="503" t="s">
        <v>539</v>
      </c>
      <c r="C14" s="333">
        <v>0</v>
      </c>
      <c r="D14" s="333">
        <v>0</v>
      </c>
      <c r="E14" s="333">
        <v>0</v>
      </c>
      <c r="F14" s="333">
        <v>0</v>
      </c>
      <c r="G14" s="333">
        <v>0</v>
      </c>
      <c r="H14" s="333">
        <f>SUM(C14:G14)</f>
        <v>0</v>
      </c>
      <c r="I14" s="499"/>
    </row>
    <row r="15" spans="1:9" s="909" customFormat="1" ht="36" customHeight="1" thickBot="1">
      <c r="A15" s="902"/>
      <c r="B15" s="263" t="s">
        <v>1351</v>
      </c>
      <c r="C15" s="319">
        <v>0</v>
      </c>
      <c r="D15" s="319">
        <f>'App B (2)'!E70</f>
        <v>465000</v>
      </c>
      <c r="E15" s="319">
        <v>0</v>
      </c>
      <c r="F15" s="319">
        <v>0</v>
      </c>
      <c r="G15" s="319">
        <v>0</v>
      </c>
      <c r="H15" s="319">
        <f>SUM(C15:G15)</f>
        <v>465000</v>
      </c>
      <c r="I15" s="499"/>
    </row>
    <row r="16" spans="1:9" s="909" customFormat="1" ht="36" customHeight="1" thickTop="1" thickBot="1">
      <c r="A16" s="902"/>
      <c r="B16" s="365" t="s">
        <v>2103</v>
      </c>
      <c r="C16" s="504"/>
      <c r="D16" s="504">
        <f>D13+D14-D15</f>
        <v>35241000</v>
      </c>
      <c r="E16" s="504"/>
      <c r="F16" s="504"/>
      <c r="G16" s="504"/>
      <c r="H16" s="504">
        <f>H13+H14-H15</f>
        <v>35241000</v>
      </c>
      <c r="I16" s="499"/>
    </row>
    <row r="17" spans="1:9" ht="13.5" thickTop="1">
      <c r="A17" s="902"/>
      <c r="B17" s="909"/>
      <c r="C17" s="317"/>
      <c r="D17" s="317"/>
      <c r="E17" s="317"/>
      <c r="F17" s="317"/>
      <c r="G17" s="317"/>
      <c r="H17" s="317"/>
      <c r="I17" s="499"/>
    </row>
    <row r="18" spans="1:9">
      <c r="A18" s="902"/>
      <c r="B18" s="909"/>
      <c r="C18" s="317"/>
      <c r="D18" s="317"/>
      <c r="E18" s="317"/>
      <c r="F18" s="317"/>
      <c r="G18" s="317"/>
      <c r="H18" s="317"/>
      <c r="I18" s="499"/>
    </row>
    <row r="19" spans="1:9">
      <c r="A19" s="903"/>
      <c r="B19" s="93"/>
      <c r="C19" s="509"/>
      <c r="D19" s="935"/>
      <c r="E19" s="935"/>
      <c r="F19" s="317"/>
      <c r="G19" s="317"/>
      <c r="H19" s="317"/>
      <c r="I19" s="909"/>
    </row>
    <row r="20" spans="1:9">
      <c r="A20" s="903"/>
      <c r="B20" s="93"/>
      <c r="C20" s="509"/>
      <c r="D20" s="505"/>
      <c r="E20" s="505"/>
      <c r="F20" s="317"/>
      <c r="G20" s="317"/>
      <c r="H20" s="317"/>
      <c r="I20" s="909"/>
    </row>
    <row r="21" spans="1:9">
      <c r="A21" s="125"/>
      <c r="B21" s="93" t="s">
        <v>2289</v>
      </c>
      <c r="C21" s="509"/>
      <c r="D21" s="505"/>
      <c r="E21" s="505"/>
    </row>
    <row r="22" spans="1:9">
      <c r="B22" s="93"/>
      <c r="C22" s="509"/>
      <c r="D22" s="505"/>
      <c r="E22" s="505"/>
    </row>
    <row r="23" spans="1:9" ht="27.75" customHeight="1">
      <c r="B23" s="1710" t="s">
        <v>2754</v>
      </c>
      <c r="C23" s="1710"/>
      <c r="D23" s="1710"/>
      <c r="E23" s="1710"/>
      <c r="F23" s="1710"/>
      <c r="G23" s="1710"/>
      <c r="H23" s="1710"/>
    </row>
    <row r="24" spans="1:9">
      <c r="B24" s="1711" t="s">
        <v>2291</v>
      </c>
      <c r="C24" s="1711"/>
      <c r="D24" s="1711"/>
      <c r="E24" s="1711"/>
      <c r="F24" s="1711"/>
      <c r="G24" s="1711"/>
      <c r="H24" s="1711"/>
    </row>
    <row r="25" spans="1:9">
      <c r="B25" s="221"/>
      <c r="C25" s="509"/>
      <c r="D25" s="505"/>
      <c r="E25" s="505"/>
    </row>
    <row r="26" spans="1:9" hidden="1">
      <c r="B26" s="93" t="s">
        <v>2292</v>
      </c>
      <c r="C26" s="508"/>
      <c r="D26" s="508"/>
      <c r="E26" s="508"/>
    </row>
    <row r="27" spans="1:9" hidden="1">
      <c r="B27" s="93"/>
      <c r="C27" s="508"/>
      <c r="D27" s="508"/>
      <c r="E27" s="508"/>
    </row>
    <row r="28" spans="1:9" hidden="1">
      <c r="B28" s="936" t="s">
        <v>1224</v>
      </c>
      <c r="C28" s="509"/>
      <c r="D28" s="505"/>
      <c r="E28" s="505"/>
    </row>
    <row r="29" spans="1:9" hidden="1">
      <c r="B29" s="93" t="s">
        <v>2266</v>
      </c>
      <c r="C29" s="509"/>
      <c r="D29" s="505"/>
      <c r="E29" s="505"/>
    </row>
    <row r="30" spans="1:9" hidden="1">
      <c r="B30" s="93" t="s">
        <v>2284</v>
      </c>
      <c r="C30" s="509"/>
      <c r="D30" s="505"/>
      <c r="E30" s="505"/>
    </row>
    <row r="31" spans="1:9" hidden="1">
      <c r="B31" s="93" t="s">
        <v>2285</v>
      </c>
      <c r="C31" s="509"/>
      <c r="D31" s="505"/>
      <c r="E31" s="505"/>
    </row>
    <row r="32" spans="1:9" hidden="1">
      <c r="B32" s="93" t="s">
        <v>2268</v>
      </c>
      <c r="C32" s="509"/>
      <c r="D32" s="505"/>
      <c r="E32" s="505"/>
    </row>
    <row r="33" spans="2:5" ht="13.5" hidden="1" thickBot="1">
      <c r="B33" s="93"/>
      <c r="C33" s="509"/>
      <c r="D33" s="929">
        <f>SUM(D30:D32)</f>
        <v>0</v>
      </c>
      <c r="E33" s="929">
        <f>SUM(E30:E32)</f>
        <v>0</v>
      </c>
    </row>
    <row r="34" spans="2:5" ht="13.5" hidden="1" thickTop="1">
      <c r="B34" s="93"/>
      <c r="C34" s="509"/>
      <c r="D34" s="505"/>
      <c r="E34" s="505"/>
    </row>
    <row r="35" spans="2:5" hidden="1">
      <c r="B35" s="936" t="s">
        <v>1224</v>
      </c>
      <c r="C35" s="509"/>
      <c r="D35" s="505"/>
      <c r="E35" s="505"/>
    </row>
    <row r="36" spans="2:5" hidden="1">
      <c r="B36" s="93" t="s">
        <v>2266</v>
      </c>
      <c r="C36" s="509"/>
      <c r="D36" s="505"/>
      <c r="E36" s="505"/>
    </row>
    <row r="37" spans="2:5" hidden="1">
      <c r="B37" s="93" t="s">
        <v>2284</v>
      </c>
      <c r="C37" s="509"/>
      <c r="D37" s="505"/>
      <c r="E37" s="505"/>
    </row>
    <row r="38" spans="2:5" hidden="1">
      <c r="B38" s="93" t="s">
        <v>2285</v>
      </c>
      <c r="C38" s="509"/>
      <c r="D38" s="505"/>
      <c r="E38" s="505"/>
    </row>
    <row r="39" spans="2:5" hidden="1">
      <c r="B39" s="93" t="s">
        <v>2268</v>
      </c>
      <c r="C39" s="509"/>
      <c r="D39" s="505"/>
      <c r="E39" s="505"/>
    </row>
    <row r="40" spans="2:5" ht="13.5" hidden="1" thickBot="1">
      <c r="B40" s="93"/>
      <c r="C40" s="509"/>
      <c r="D40" s="929">
        <f>SUM(D37:D39)</f>
        <v>0</v>
      </c>
      <c r="E40" s="929">
        <f>SUM(E37:E39)</f>
        <v>0</v>
      </c>
    </row>
    <row r="41" spans="2:5" ht="13.5" hidden="1" thickTop="1">
      <c r="B41" s="93"/>
      <c r="C41" s="509"/>
      <c r="D41" s="505"/>
      <c r="E41" s="505"/>
    </row>
    <row r="42" spans="2:5" hidden="1">
      <c r="B42" s="93" t="s">
        <v>2293</v>
      </c>
      <c r="C42" s="509"/>
      <c r="D42" s="505"/>
      <c r="E42" s="505"/>
    </row>
    <row r="43" spans="2:5" hidden="1">
      <c r="B43" s="93" t="s">
        <v>2294</v>
      </c>
      <c r="C43" s="509"/>
      <c r="D43" s="505"/>
      <c r="E43" s="505"/>
    </row>
    <row r="44" spans="2:5" hidden="1">
      <c r="B44" s="93" t="s">
        <v>2295</v>
      </c>
      <c r="C44" s="509"/>
      <c r="D44" s="505"/>
      <c r="E44" s="505"/>
    </row>
    <row r="45" spans="2:5">
      <c r="B45" s="93"/>
      <c r="C45" s="509"/>
      <c r="D45" s="506"/>
      <c r="E45" s="506"/>
    </row>
    <row r="46" spans="2:5">
      <c r="B46" s="93"/>
      <c r="C46" s="509"/>
      <c r="D46" s="506"/>
      <c r="E46" s="506"/>
    </row>
  </sheetData>
  <mergeCells count="4">
    <mergeCell ref="A1:H1"/>
    <mergeCell ref="A2:H2"/>
    <mergeCell ref="B23:H23"/>
    <mergeCell ref="B24:H24"/>
  </mergeCells>
  <printOptions horizontalCentered="1"/>
  <pageMargins left="0.70866141732283472" right="0.70866141732283472" top="0.74803149606299213" bottom="0.74803149606299213" header="0.31496062992125984" footer="0.31496062992125984"/>
  <pageSetup paperSize="9" scale="85" fitToHeight="2" orientation="landscape" r:id="rId1"/>
  <headerFooter>
    <oddFooter>&amp;R&amp;P</oddFooter>
  </headerFooter>
</worksheet>
</file>

<file path=xl/worksheets/sheet14.xml><?xml version="1.0" encoding="utf-8"?>
<worksheet xmlns="http://schemas.openxmlformats.org/spreadsheetml/2006/main" xmlns:r="http://schemas.openxmlformats.org/officeDocument/2006/relationships">
  <dimension ref="A1:I121"/>
  <sheetViews>
    <sheetView view="pageBreakPreview" topLeftCell="A99" zoomScaleSheetLayoutView="100" workbookViewId="0">
      <selection activeCell="D99" sqref="D99"/>
    </sheetView>
  </sheetViews>
  <sheetFormatPr defaultRowHeight="12.75"/>
  <cols>
    <col min="1" max="1" width="4.7109375" style="1161" bestFit="1" customWidth="1"/>
    <col min="2" max="2" width="39.85546875" style="313" customWidth="1"/>
    <col min="3" max="3" width="2.85546875" style="313" customWidth="1"/>
    <col min="4" max="4" width="17.85546875" style="313" customWidth="1"/>
    <col min="5" max="5" width="2.5703125" style="1158" customWidth="1"/>
    <col min="6" max="6" width="18.42578125" style="334" customWidth="1"/>
    <col min="7" max="7" width="2.28515625" style="313" customWidth="1"/>
    <col min="8" max="8" width="14.5703125" style="312" bestFit="1" customWidth="1"/>
    <col min="9" max="16384" width="9.140625" style="313"/>
  </cols>
  <sheetData>
    <row r="1" spans="1:8" ht="15.75" customHeight="1">
      <c r="A1" s="1712" t="s">
        <v>1349</v>
      </c>
      <c r="B1" s="1713"/>
      <c r="C1" s="1713"/>
      <c r="D1" s="1713"/>
      <c r="E1" s="1713"/>
      <c r="F1" s="1713"/>
      <c r="G1" s="1714"/>
    </row>
    <row r="2" spans="1:8">
      <c r="A2" s="1715" t="s">
        <v>2075</v>
      </c>
      <c r="B2" s="1716"/>
      <c r="C2" s="1716"/>
      <c r="D2" s="1716"/>
      <c r="E2" s="1716"/>
      <c r="F2" s="1716"/>
      <c r="G2" s="1717"/>
    </row>
    <row r="3" spans="1:8" ht="13.5" thickBot="1">
      <c r="A3" s="886"/>
      <c r="B3" s="1158"/>
      <c r="C3" s="1158"/>
      <c r="D3" s="1158"/>
      <c r="F3" s="317"/>
      <c r="G3" s="499"/>
    </row>
    <row r="4" spans="1:8">
      <c r="A4" s="887"/>
      <c r="B4" s="888"/>
      <c r="C4" s="888"/>
      <c r="D4" s="888"/>
      <c r="E4" s="888"/>
      <c r="F4" s="889"/>
      <c r="G4" s="498"/>
      <c r="H4" s="334"/>
    </row>
    <row r="5" spans="1:8">
      <c r="A5" s="1154" t="s">
        <v>320</v>
      </c>
      <c r="B5" s="142" t="s">
        <v>321</v>
      </c>
      <c r="C5" s="142"/>
      <c r="D5" s="140" t="s">
        <v>2077</v>
      </c>
      <c r="E5" s="1151"/>
      <c r="F5" s="140" t="s">
        <v>1796</v>
      </c>
      <c r="G5" s="499"/>
      <c r="H5" s="334"/>
    </row>
    <row r="6" spans="1:8">
      <c r="A6" s="890"/>
      <c r="B6" s="1158"/>
      <c r="C6" s="1158"/>
      <c r="D6" s="1157" t="s">
        <v>1314</v>
      </c>
      <c r="E6" s="142"/>
      <c r="F6" s="156" t="s">
        <v>1314</v>
      </c>
      <c r="G6" s="499"/>
      <c r="H6" s="334"/>
    </row>
    <row r="7" spans="1:8" ht="25.5">
      <c r="A7" s="890"/>
      <c r="B7" s="211" t="s">
        <v>1652</v>
      </c>
      <c r="C7" s="211"/>
      <c r="D7" s="211"/>
      <c r="E7" s="211"/>
      <c r="F7" s="328"/>
      <c r="G7" s="810"/>
      <c r="H7" s="334"/>
    </row>
    <row r="8" spans="1:8">
      <c r="A8" s="890"/>
      <c r="B8" s="211"/>
      <c r="C8" s="211"/>
      <c r="D8" s="211"/>
      <c r="E8" s="211"/>
      <c r="F8" s="156"/>
      <c r="G8" s="810"/>
      <c r="H8" s="334"/>
    </row>
    <row r="9" spans="1:8">
      <c r="A9" s="890"/>
      <c r="B9" s="211" t="s">
        <v>1653</v>
      </c>
      <c r="C9" s="211"/>
      <c r="D9" s="724"/>
      <c r="E9" s="211"/>
      <c r="F9" s="543">
        <v>53.5</v>
      </c>
      <c r="G9" s="810"/>
      <c r="H9" s="334"/>
    </row>
    <row r="10" spans="1:8">
      <c r="A10" s="890"/>
      <c r="B10" s="211" t="s">
        <v>1654</v>
      </c>
      <c r="C10" s="211"/>
      <c r="D10" s="727">
        <v>0</v>
      </c>
      <c r="E10" s="211"/>
      <c r="F10" s="215">
        <v>53.5</v>
      </c>
      <c r="G10" s="810"/>
      <c r="H10" s="334"/>
    </row>
    <row r="11" spans="1:8">
      <c r="A11" s="890"/>
      <c r="B11" s="211" t="s">
        <v>1655</v>
      </c>
      <c r="C11" s="211"/>
      <c r="D11" s="727">
        <v>0</v>
      </c>
      <c r="E11" s="211"/>
      <c r="F11" s="215">
        <v>53.5</v>
      </c>
      <c r="G11" s="810"/>
      <c r="H11" s="334"/>
    </row>
    <row r="12" spans="1:8">
      <c r="A12" s="890"/>
      <c r="B12" s="211" t="s">
        <v>1656</v>
      </c>
      <c r="C12" s="211"/>
      <c r="D12" s="727">
        <v>0</v>
      </c>
      <c r="E12" s="211"/>
      <c r="F12" s="215">
        <v>53.5</v>
      </c>
      <c r="G12" s="810"/>
      <c r="H12" s="334"/>
    </row>
    <row r="13" spans="1:8">
      <c r="A13" s="890"/>
      <c r="B13" s="211" t="s">
        <v>1657</v>
      </c>
      <c r="C13" s="211"/>
      <c r="D13" s="727">
        <v>0</v>
      </c>
      <c r="E13" s="211"/>
      <c r="F13" s="215">
        <v>53.5</v>
      </c>
      <c r="G13" s="810"/>
      <c r="H13" s="334"/>
    </row>
    <row r="14" spans="1:8">
      <c r="A14" s="890"/>
      <c r="B14" s="211" t="s">
        <v>1658</v>
      </c>
      <c r="C14" s="211"/>
      <c r="D14" s="727">
        <v>0</v>
      </c>
      <c r="E14" s="211"/>
      <c r="F14" s="215">
        <f>53.5+171719.46</f>
        <v>171772.96</v>
      </c>
      <c r="G14" s="810"/>
      <c r="H14" s="334"/>
    </row>
    <row r="15" spans="1:8">
      <c r="A15" s="890"/>
      <c r="B15" s="211" t="s">
        <v>1659</v>
      </c>
      <c r="C15" s="211"/>
      <c r="D15" s="727">
        <v>78944.66</v>
      </c>
      <c r="E15" s="211"/>
      <c r="F15" s="215">
        <v>53.5</v>
      </c>
      <c r="G15" s="810"/>
      <c r="H15" s="334"/>
    </row>
    <row r="16" spans="1:8" ht="25.5">
      <c r="A16" s="890"/>
      <c r="B16" s="211" t="s">
        <v>1660</v>
      </c>
      <c r="C16" s="211"/>
      <c r="D16" s="727">
        <v>8012.62</v>
      </c>
      <c r="E16" s="211"/>
      <c r="F16" s="727"/>
      <c r="G16" s="810"/>
      <c r="H16" s="334"/>
    </row>
    <row r="17" spans="1:8">
      <c r="A17" s="890"/>
      <c r="B17" s="211"/>
      <c r="C17" s="211"/>
      <c r="D17" s="211"/>
      <c r="E17" s="211"/>
      <c r="F17" s="328"/>
      <c r="G17" s="810"/>
      <c r="H17" s="334"/>
    </row>
    <row r="18" spans="1:8" ht="13.5" thickBot="1">
      <c r="A18" s="890"/>
      <c r="B18" s="734" t="s">
        <v>2080</v>
      </c>
      <c r="C18" s="211"/>
      <c r="D18" s="1168">
        <f>SUM(D9:D16)</f>
        <v>86957.28</v>
      </c>
      <c r="E18" s="211"/>
      <c r="F18" s="1168">
        <f>SUM(F9:F16)</f>
        <v>172093.96</v>
      </c>
      <c r="G18" s="810"/>
      <c r="H18" s="334"/>
    </row>
    <row r="19" spans="1:8" ht="13.5" thickTop="1">
      <c r="A19" s="891"/>
      <c r="B19" s="314"/>
      <c r="C19" s="314"/>
      <c r="D19" s="314"/>
      <c r="E19" s="314"/>
      <c r="F19" s="315"/>
      <c r="G19" s="635"/>
      <c r="H19" s="334"/>
    </row>
    <row r="20" spans="1:8">
      <c r="A20" s="890"/>
      <c r="B20" s="1158"/>
      <c r="C20" s="1158"/>
      <c r="D20" s="1158"/>
      <c r="F20" s="317"/>
      <c r="G20" s="499"/>
      <c r="H20" s="334"/>
    </row>
    <row r="21" spans="1:8" s="141" customFormat="1">
      <c r="A21" s="1152" t="s">
        <v>485</v>
      </c>
      <c r="B21" s="142" t="s">
        <v>1328</v>
      </c>
      <c r="C21" s="142"/>
      <c r="D21" s="140" t="s">
        <v>2077</v>
      </c>
      <c r="E21" s="1149"/>
      <c r="F21" s="140" t="s">
        <v>1796</v>
      </c>
      <c r="G21" s="223"/>
      <c r="H21" s="186"/>
    </row>
    <row r="22" spans="1:8" s="141" customFormat="1">
      <c r="A22" s="1148"/>
      <c r="B22" s="142"/>
      <c r="C22" s="142"/>
      <c r="D22" s="1150" t="s">
        <v>1314</v>
      </c>
      <c r="E22" s="1149"/>
      <c r="F22" s="1150" t="s">
        <v>1314</v>
      </c>
      <c r="G22" s="223"/>
      <c r="H22" s="186"/>
    </row>
    <row r="23" spans="1:8">
      <c r="A23" s="1148"/>
      <c r="B23" s="142" t="s">
        <v>1355</v>
      </c>
      <c r="C23" s="142"/>
      <c r="D23" s="136"/>
      <c r="E23" s="142"/>
      <c r="F23" s="136"/>
      <c r="G23" s="499"/>
    </row>
    <row r="24" spans="1:8">
      <c r="A24" s="1148"/>
      <c r="B24" s="1153" t="s">
        <v>1356</v>
      </c>
      <c r="C24" s="1153"/>
      <c r="D24" s="629"/>
      <c r="E24" s="1153"/>
      <c r="F24" s="630"/>
      <c r="G24" s="499"/>
    </row>
    <row r="25" spans="1:8">
      <c r="A25" s="1148"/>
      <c r="B25" s="1153" t="s">
        <v>1357</v>
      </c>
      <c r="C25" s="1153"/>
      <c r="D25" s="631"/>
      <c r="E25" s="1153"/>
      <c r="F25" s="632"/>
      <c r="G25" s="499"/>
    </row>
    <row r="26" spans="1:8">
      <c r="A26" s="1148"/>
      <c r="B26" s="1153" t="s">
        <v>1358</v>
      </c>
      <c r="C26" s="1153"/>
      <c r="D26" s="631"/>
      <c r="E26" s="1153"/>
      <c r="F26" s="632"/>
      <c r="G26" s="499"/>
    </row>
    <row r="27" spans="1:8">
      <c r="A27" s="1148"/>
      <c r="B27" s="1229" t="s">
        <v>1359</v>
      </c>
      <c r="C27" s="1153"/>
      <c r="D27" s="502"/>
      <c r="E27" s="1153"/>
      <c r="F27" s="627"/>
      <c r="G27" s="499"/>
    </row>
    <row r="28" spans="1:8">
      <c r="A28" s="1148"/>
      <c r="B28" s="1159"/>
      <c r="C28" s="1159"/>
      <c r="D28" s="1159"/>
      <c r="E28" s="1159"/>
      <c r="F28" s="325"/>
      <c r="G28" s="499"/>
    </row>
    <row r="29" spans="1:8" s="141" customFormat="1">
      <c r="A29" s="1148"/>
      <c r="B29" s="142" t="s">
        <v>1360</v>
      </c>
      <c r="C29" s="142"/>
      <c r="D29" s="142"/>
      <c r="E29" s="142"/>
      <c r="F29" s="136"/>
      <c r="G29" s="223"/>
      <c r="H29" s="186"/>
    </row>
    <row r="30" spans="1:8">
      <c r="A30" s="1148"/>
      <c r="B30" s="1159" t="s">
        <v>1361</v>
      </c>
      <c r="C30" s="1159"/>
      <c r="D30" s="892">
        <f>'main TB'!R107</f>
        <v>3878745.5599999996</v>
      </c>
      <c r="E30" s="1159"/>
      <c r="F30" s="892">
        <f>'main TB'!O107</f>
        <v>1507828.77</v>
      </c>
      <c r="G30" s="499"/>
    </row>
    <row r="31" spans="1:8">
      <c r="A31" s="1148"/>
      <c r="B31" s="1159"/>
      <c r="C31" s="1159"/>
      <c r="D31" s="1159"/>
      <c r="E31" s="1159"/>
      <c r="F31" s="325"/>
      <c r="G31" s="499"/>
    </row>
    <row r="32" spans="1:8" s="141" customFormat="1">
      <c r="A32" s="1148"/>
      <c r="B32" s="142" t="s">
        <v>1122</v>
      </c>
      <c r="C32" s="142"/>
      <c r="D32" s="142"/>
      <c r="E32" s="142"/>
      <c r="F32" s="136"/>
      <c r="G32" s="223"/>
      <c r="H32" s="186"/>
    </row>
    <row r="33" spans="1:8" s="141" customFormat="1">
      <c r="A33" s="1148"/>
      <c r="B33" s="142" t="s">
        <v>1190</v>
      </c>
      <c r="C33" s="142"/>
      <c r="D33" s="547">
        <f>F34+F35</f>
        <v>503815.91999999993</v>
      </c>
      <c r="E33" s="142"/>
      <c r="F33" s="136"/>
      <c r="G33" s="223"/>
      <c r="H33" s="186"/>
    </row>
    <row r="34" spans="1:8" s="141" customFormat="1">
      <c r="A34" s="1148"/>
      <c r="B34" s="1159" t="s">
        <v>1708</v>
      </c>
      <c r="C34" s="1159"/>
      <c r="D34" s="262">
        <v>0</v>
      </c>
      <c r="E34" s="1159"/>
      <c r="F34" s="262">
        <v>100</v>
      </c>
      <c r="G34" s="223"/>
      <c r="H34" s="186"/>
    </row>
    <row r="35" spans="1:8" s="141" customFormat="1">
      <c r="A35" s="1148"/>
      <c r="B35" s="1159" t="s">
        <v>1709</v>
      </c>
      <c r="C35" s="1159"/>
      <c r="D35" s="331">
        <v>0</v>
      </c>
      <c r="E35" s="1159"/>
      <c r="F35" s="331">
        <f>'main TB'!O108-100</f>
        <v>503715.91999999993</v>
      </c>
      <c r="G35" s="223"/>
      <c r="H35" s="186"/>
    </row>
    <row r="36" spans="1:8" s="141" customFormat="1">
      <c r="A36" s="1148"/>
      <c r="B36" s="1159" t="s">
        <v>2774</v>
      </c>
      <c r="C36" s="1159"/>
      <c r="D36" s="327">
        <v>-503816</v>
      </c>
      <c r="E36" s="1159"/>
      <c r="F36" s="327"/>
      <c r="G36" s="223"/>
      <c r="H36" s="186"/>
    </row>
    <row r="37" spans="1:8" s="141" customFormat="1">
      <c r="A37" s="1148"/>
      <c r="B37" s="142"/>
      <c r="C37" s="142"/>
      <c r="D37" s="142"/>
      <c r="E37" s="142"/>
      <c r="F37" s="144"/>
      <c r="G37" s="223"/>
      <c r="H37" s="186"/>
    </row>
    <row r="38" spans="1:8" s="141" customFormat="1" ht="13.5" thickBot="1">
      <c r="A38" s="1148"/>
      <c r="B38" s="142" t="s">
        <v>1362</v>
      </c>
      <c r="C38" s="142"/>
      <c r="D38" s="143">
        <f>SUM(D30:D37)</f>
        <v>3878745.4799999995</v>
      </c>
      <c r="E38" s="142"/>
      <c r="F38" s="143">
        <f>SUM(F30:F37)</f>
        <v>2011644.69</v>
      </c>
      <c r="G38" s="223"/>
      <c r="H38" s="186"/>
    </row>
    <row r="39" spans="1:8" s="141" customFormat="1" hidden="1">
      <c r="A39" s="1148"/>
      <c r="B39" s="141" t="s">
        <v>1328</v>
      </c>
      <c r="C39" s="142"/>
      <c r="D39" s="136"/>
      <c r="E39" s="142"/>
      <c r="F39" s="136"/>
      <c r="G39" s="223"/>
      <c r="H39" s="186"/>
    </row>
    <row r="40" spans="1:8" s="141" customFormat="1" hidden="1">
      <c r="A40" s="1148"/>
      <c r="B40" s="577"/>
      <c r="C40" s="142"/>
      <c r="D40" s="136"/>
      <c r="E40" s="142"/>
      <c r="F40" s="136"/>
      <c r="G40" s="223"/>
      <c r="H40" s="186"/>
    </row>
    <row r="41" spans="1:8" s="141" customFormat="1" hidden="1">
      <c r="A41" s="1148"/>
      <c r="B41" s="313" t="s">
        <v>1317</v>
      </c>
      <c r="C41" s="142"/>
      <c r="D41" s="136"/>
      <c r="E41" s="142"/>
      <c r="F41" s="136"/>
      <c r="G41" s="223"/>
      <c r="H41" s="186"/>
    </row>
    <row r="42" spans="1:8" s="141" customFormat="1" hidden="1">
      <c r="A42" s="1148"/>
      <c r="B42" s="313" t="s">
        <v>2254</v>
      </c>
      <c r="C42" s="142"/>
      <c r="D42" s="136"/>
      <c r="E42" s="142"/>
      <c r="F42" s="136"/>
      <c r="G42" s="223"/>
      <c r="H42" s="186"/>
    </row>
    <row r="43" spans="1:8" s="141" customFormat="1" hidden="1">
      <c r="A43" s="1148"/>
      <c r="B43" s="313"/>
      <c r="C43" s="142"/>
      <c r="D43" s="136"/>
      <c r="E43" s="142"/>
      <c r="F43" s="136"/>
      <c r="G43" s="223"/>
      <c r="H43" s="186"/>
    </row>
    <row r="44" spans="1:8" s="141" customFormat="1" ht="51" hidden="1">
      <c r="A44" s="1148"/>
      <c r="B44" s="639" t="s">
        <v>2255</v>
      </c>
      <c r="C44" s="142"/>
      <c r="D44" s="136"/>
      <c r="E44" s="142"/>
      <c r="F44" s="136"/>
      <c r="G44" s="223"/>
      <c r="H44" s="186"/>
    </row>
    <row r="45" spans="1:8" s="141" customFormat="1" hidden="1">
      <c r="A45" s="1148"/>
      <c r="B45" s="142"/>
      <c r="C45" s="142"/>
      <c r="D45" s="136"/>
      <c r="E45" s="142"/>
      <c r="F45" s="136"/>
      <c r="G45" s="223"/>
      <c r="H45" s="186"/>
    </row>
    <row r="46" spans="1:8" s="141" customFormat="1" hidden="1">
      <c r="A46" s="1148"/>
      <c r="B46" s="141" t="s">
        <v>1328</v>
      </c>
      <c r="C46" s="142"/>
      <c r="D46" s="136"/>
      <c r="E46" s="142"/>
      <c r="F46" s="136"/>
      <c r="G46" s="223"/>
      <c r="H46" s="186"/>
    </row>
    <row r="47" spans="1:8" s="141" customFormat="1" hidden="1">
      <c r="A47" s="1148"/>
      <c r="C47" s="142"/>
      <c r="D47" s="136"/>
      <c r="E47" s="142"/>
      <c r="F47" s="136"/>
      <c r="G47" s="223"/>
      <c r="H47" s="186"/>
    </row>
    <row r="48" spans="1:8" s="141" customFormat="1" hidden="1">
      <c r="A48" s="1148"/>
      <c r="B48" s="937" t="s">
        <v>2256</v>
      </c>
      <c r="C48" s="142"/>
      <c r="D48" s="136"/>
      <c r="E48" s="142"/>
      <c r="F48" s="136"/>
      <c r="G48" s="223"/>
      <c r="H48" s="186"/>
    </row>
    <row r="49" spans="1:8" s="141" customFormat="1" hidden="1">
      <c r="A49" s="1148"/>
      <c r="B49" s="313" t="s">
        <v>2257</v>
      </c>
      <c r="C49" s="142"/>
      <c r="D49" s="136"/>
      <c r="E49" s="142"/>
      <c r="F49" s="136"/>
      <c r="G49" s="223"/>
      <c r="H49" s="186"/>
    </row>
    <row r="50" spans="1:8" s="141" customFormat="1" hidden="1">
      <c r="A50" s="1148"/>
      <c r="B50" s="313" t="s">
        <v>2258</v>
      </c>
      <c r="C50" s="142"/>
      <c r="D50" s="136"/>
      <c r="E50" s="142"/>
      <c r="F50" s="136"/>
      <c r="G50" s="223"/>
      <c r="H50" s="186"/>
    </row>
    <row r="51" spans="1:8" s="141" customFormat="1" hidden="1">
      <c r="A51" s="1148"/>
      <c r="B51" s="313" t="s">
        <v>2259</v>
      </c>
      <c r="C51" s="142"/>
      <c r="D51" s="136"/>
      <c r="E51" s="142"/>
      <c r="F51" s="136"/>
      <c r="G51" s="223"/>
      <c r="H51" s="186"/>
    </row>
    <row r="52" spans="1:8" s="141" customFormat="1" hidden="1">
      <c r="A52" s="1148"/>
      <c r="B52" s="313"/>
      <c r="C52" s="142"/>
      <c r="D52" s="136"/>
      <c r="E52" s="142"/>
      <c r="F52" s="136"/>
      <c r="G52" s="223"/>
      <c r="H52" s="186"/>
    </row>
    <row r="53" spans="1:8" s="141" customFormat="1" hidden="1">
      <c r="A53" s="1148"/>
      <c r="B53" s="577" t="s">
        <v>2260</v>
      </c>
      <c r="C53" s="142"/>
      <c r="D53" s="136"/>
      <c r="E53" s="142"/>
      <c r="F53" s="136"/>
      <c r="G53" s="223"/>
      <c r="H53" s="186"/>
    </row>
    <row r="54" spans="1:8" s="141" customFormat="1" hidden="1">
      <c r="A54" s="1149"/>
      <c r="B54" s="126"/>
      <c r="C54" s="142"/>
      <c r="D54" s="142"/>
      <c r="E54" s="142"/>
      <c r="F54" s="144"/>
      <c r="G54" s="135"/>
      <c r="H54" s="186"/>
    </row>
    <row r="55" spans="1:8" ht="38.25" hidden="1">
      <c r="A55" s="1148"/>
      <c r="B55" s="938" t="s">
        <v>2261</v>
      </c>
      <c r="C55" s="1158"/>
      <c r="D55" s="1158"/>
      <c r="F55" s="317"/>
      <c r="G55" s="499"/>
    </row>
    <row r="56" spans="1:8" ht="13.5" thickTop="1">
      <c r="A56" s="279"/>
      <c r="B56" s="893"/>
      <c r="C56" s="314"/>
      <c r="D56" s="314"/>
      <c r="E56" s="314"/>
      <c r="F56" s="315"/>
      <c r="G56" s="635"/>
    </row>
    <row r="57" spans="1:8">
      <c r="A57" s="1148"/>
      <c r="B57" s="1153"/>
      <c r="C57" s="1158"/>
      <c r="D57" s="1158"/>
      <c r="F57" s="317"/>
      <c r="G57" s="499"/>
    </row>
    <row r="58" spans="1:8">
      <c r="A58" s="1152" t="s">
        <v>486</v>
      </c>
      <c r="B58" s="142" t="s">
        <v>1329</v>
      </c>
      <c r="C58" s="142"/>
      <c r="D58" s="140" t="s">
        <v>2077</v>
      </c>
      <c r="F58" s="140" t="s">
        <v>1796</v>
      </c>
      <c r="G58" s="499"/>
    </row>
    <row r="59" spans="1:8">
      <c r="A59" s="1152"/>
      <c r="B59" s="142"/>
      <c r="C59" s="142"/>
      <c r="D59" s="1157" t="s">
        <v>1314</v>
      </c>
      <c r="E59" s="142"/>
      <c r="F59" s="156" t="s">
        <v>1314</v>
      </c>
      <c r="G59" s="499"/>
    </row>
    <row r="60" spans="1:8">
      <c r="A60" s="1148"/>
      <c r="B60" s="142"/>
      <c r="C60" s="142"/>
      <c r="D60" s="142"/>
      <c r="E60" s="142"/>
      <c r="F60" s="144"/>
      <c r="G60" s="499"/>
    </row>
    <row r="61" spans="1:8">
      <c r="A61" s="1148"/>
      <c r="B61" s="1159"/>
      <c r="C61" s="1159"/>
      <c r="D61" s="263"/>
      <c r="E61" s="1159"/>
      <c r="F61" s="262"/>
      <c r="G61" s="499"/>
    </row>
    <row r="62" spans="1:8">
      <c r="A62" s="1148"/>
      <c r="B62" s="1158" t="s">
        <v>1872</v>
      </c>
      <c r="C62" s="1159"/>
      <c r="D62" s="331">
        <v>351692.85</v>
      </c>
      <c r="E62" s="1159"/>
      <c r="F62" s="331">
        <v>642297.35</v>
      </c>
      <c r="G62" s="499"/>
    </row>
    <row r="63" spans="1:8">
      <c r="A63" s="1148"/>
      <c r="B63" s="1159" t="s">
        <v>2025</v>
      </c>
      <c r="C63" s="1159"/>
      <c r="D63" s="331">
        <v>761313.15</v>
      </c>
      <c r="E63" s="1159"/>
      <c r="F63" s="331">
        <v>92693.37</v>
      </c>
      <c r="G63" s="499"/>
    </row>
    <row r="64" spans="1:8">
      <c r="A64" s="1148"/>
      <c r="B64" s="1159"/>
      <c r="C64" s="1159"/>
      <c r="D64" s="326"/>
      <c r="E64" s="1159"/>
      <c r="F64" s="327"/>
      <c r="G64" s="499"/>
    </row>
    <row r="65" spans="1:9">
      <c r="A65" s="1148"/>
      <c r="B65" s="1159"/>
      <c r="C65" s="1159"/>
      <c r="D65" s="1159"/>
      <c r="E65" s="1159"/>
      <c r="F65" s="325"/>
      <c r="G65" s="499"/>
    </row>
    <row r="66" spans="1:9" s="141" customFormat="1" ht="13.5" thickBot="1">
      <c r="A66" s="1148"/>
      <c r="B66" s="142" t="s">
        <v>1363</v>
      </c>
      <c r="C66" s="142"/>
      <c r="D66" s="143">
        <f>SUM(D61:D64)</f>
        <v>1113006</v>
      </c>
      <c r="E66" s="142"/>
      <c r="F66" s="143">
        <f>SUM(F61:F64)</f>
        <v>734990.72</v>
      </c>
      <c r="G66" s="223"/>
      <c r="H66" s="186"/>
    </row>
    <row r="67" spans="1:9" s="141" customFormat="1" ht="13.5" thickTop="1">
      <c r="A67" s="1148"/>
      <c r="B67" s="142"/>
      <c r="C67" s="142"/>
      <c r="D67" s="142"/>
      <c r="E67" s="142"/>
      <c r="F67" s="144"/>
      <c r="G67" s="223"/>
      <c r="H67" s="186"/>
    </row>
    <row r="68" spans="1:9" ht="25.5">
      <c r="A68" s="894"/>
      <c r="B68" s="1159" t="s">
        <v>1364</v>
      </c>
      <c r="C68" s="1159"/>
      <c r="D68" s="325">
        <v>379802</v>
      </c>
      <c r="E68" s="1159"/>
      <c r="F68" s="317">
        <v>250808</v>
      </c>
      <c r="G68" s="499"/>
    </row>
    <row r="69" spans="1:9">
      <c r="A69" s="894"/>
      <c r="B69" s="1159"/>
      <c r="C69" s="1159"/>
      <c r="D69" s="1159"/>
      <c r="E69" s="1159"/>
      <c r="F69" s="317"/>
      <c r="G69" s="499"/>
    </row>
    <row r="70" spans="1:9">
      <c r="A70" s="1148"/>
      <c r="B70" s="1153"/>
      <c r="C70" s="1153"/>
      <c r="D70" s="1153"/>
      <c r="E70" s="1153"/>
      <c r="F70" s="628"/>
      <c r="G70" s="499"/>
    </row>
    <row r="71" spans="1:9" s="141" customFormat="1" ht="13.5" thickBot="1">
      <c r="A71" s="1148"/>
      <c r="B71" s="142" t="s">
        <v>1365</v>
      </c>
      <c r="C71" s="142"/>
      <c r="D71" s="143">
        <f>D66+D68</f>
        <v>1492808</v>
      </c>
      <c r="E71" s="142"/>
      <c r="F71" s="143">
        <f>F66+F68</f>
        <v>985798.72</v>
      </c>
      <c r="G71" s="223"/>
      <c r="H71" s="186"/>
    </row>
    <row r="72" spans="1:9" s="141" customFormat="1" ht="13.5" thickTop="1">
      <c r="A72" s="1148"/>
      <c r="B72" s="142"/>
      <c r="C72" s="142"/>
      <c r="D72" s="142"/>
      <c r="E72" s="142"/>
      <c r="F72" s="144"/>
      <c r="G72" s="223"/>
      <c r="H72" s="186"/>
    </row>
    <row r="73" spans="1:9">
      <c r="A73" s="280"/>
      <c r="B73" s="321"/>
      <c r="C73" s="321"/>
      <c r="D73" s="321"/>
      <c r="F73" s="322"/>
      <c r="G73" s="623"/>
    </row>
    <row r="74" spans="1:9">
      <c r="A74" s="1152" t="s">
        <v>487</v>
      </c>
      <c r="B74" s="142" t="s">
        <v>1366</v>
      </c>
      <c r="C74" s="142"/>
      <c r="D74" s="140" t="s">
        <v>2077</v>
      </c>
      <c r="F74" s="140" t="s">
        <v>1796</v>
      </c>
      <c r="G74" s="499"/>
    </row>
    <row r="75" spans="1:9">
      <c r="A75" s="1152"/>
      <c r="B75" s="142"/>
      <c r="C75" s="142"/>
      <c r="D75" s="1157" t="s">
        <v>1314</v>
      </c>
      <c r="E75" s="142"/>
      <c r="F75" s="156" t="s">
        <v>1314</v>
      </c>
      <c r="G75" s="499"/>
    </row>
    <row r="76" spans="1:9">
      <c r="A76" s="1152"/>
      <c r="B76" s="142"/>
      <c r="C76" s="142"/>
      <c r="D76" s="142"/>
      <c r="E76" s="142"/>
      <c r="F76" s="144"/>
      <c r="G76" s="499"/>
    </row>
    <row r="77" spans="1:9">
      <c r="A77" s="1152"/>
      <c r="B77" s="135" t="s">
        <v>2233</v>
      </c>
      <c r="C77" s="142"/>
      <c r="D77" s="547">
        <f>F84</f>
        <v>81415041.439999998</v>
      </c>
      <c r="E77" s="142"/>
      <c r="F77" s="144"/>
      <c r="G77" s="499"/>
    </row>
    <row r="78" spans="1:9">
      <c r="A78" s="1148"/>
      <c r="B78" s="1158" t="s">
        <v>2234</v>
      </c>
      <c r="C78" s="1159"/>
      <c r="D78" s="262">
        <f>-284986.69+260605.44+38699.24</f>
        <v>14317.989999999998</v>
      </c>
      <c r="E78" s="1159"/>
      <c r="F78" s="262">
        <f>'main TB'!O112</f>
        <v>1301921.3400000082</v>
      </c>
      <c r="G78" s="499"/>
      <c r="H78" s="312">
        <f>F78-D78</f>
        <v>1287603.3500000082</v>
      </c>
      <c r="I78" s="895" t="s">
        <v>36</v>
      </c>
    </row>
    <row r="79" spans="1:9">
      <c r="A79" s="1148"/>
      <c r="B79" s="1158" t="s">
        <v>2235</v>
      </c>
      <c r="C79" s="1159"/>
      <c r="D79" s="331"/>
      <c r="E79" s="1159"/>
      <c r="F79" s="331"/>
      <c r="G79" s="499"/>
      <c r="I79" s="895"/>
    </row>
    <row r="80" spans="1:9">
      <c r="A80" s="1148"/>
      <c r="B80" s="1158" t="s">
        <v>2236</v>
      </c>
      <c r="C80" s="1159"/>
      <c r="D80" s="331"/>
      <c r="E80" s="1159"/>
      <c r="F80" s="331"/>
      <c r="G80" s="499"/>
      <c r="I80" s="895"/>
    </row>
    <row r="81" spans="1:9">
      <c r="A81" s="1148"/>
      <c r="B81" s="1158" t="s">
        <v>2237</v>
      </c>
      <c r="C81" s="1159"/>
      <c r="D81" s="331"/>
      <c r="E81" s="1159"/>
      <c r="F81" s="331"/>
      <c r="G81" s="499"/>
      <c r="I81" s="895"/>
    </row>
    <row r="82" spans="1:9">
      <c r="A82" s="1148"/>
      <c r="B82" s="1159" t="s">
        <v>1740</v>
      </c>
      <c r="C82" s="1159"/>
      <c r="D82" s="327">
        <f>22709880-12299080-12087120.07+12942000-7844979.81</f>
        <v>3420700.12</v>
      </c>
      <c r="E82" s="1159"/>
      <c r="F82" s="327">
        <f>'main TB'!O113</f>
        <v>80113120.099999994</v>
      </c>
      <c r="G82" s="499"/>
    </row>
    <row r="83" spans="1:9">
      <c r="A83" s="1148"/>
      <c r="B83" s="1159"/>
      <c r="C83" s="1159"/>
      <c r="D83" s="1159"/>
      <c r="E83" s="1159"/>
      <c r="F83" s="325"/>
      <c r="G83" s="499"/>
    </row>
    <row r="84" spans="1:9" s="141" customFormat="1" ht="13.5" thickBot="1">
      <c r="A84" s="1148"/>
      <c r="B84" s="142" t="s">
        <v>1108</v>
      </c>
      <c r="C84" s="142"/>
      <c r="D84" s="143">
        <f>SUM(D77:D82)</f>
        <v>84850059.549999997</v>
      </c>
      <c r="E84" s="142"/>
      <c r="F84" s="143">
        <f>SUM(F78:F82)</f>
        <v>81415041.439999998</v>
      </c>
      <c r="G84" s="223"/>
      <c r="H84" s="186"/>
    </row>
    <row r="85" spans="1:9" ht="13.5" thickTop="1">
      <c r="A85" s="1148"/>
      <c r="B85" s="1159"/>
      <c r="C85" s="1159"/>
      <c r="D85" s="1159"/>
      <c r="E85" s="1159"/>
      <c r="F85" s="325"/>
      <c r="G85" s="499"/>
    </row>
    <row r="86" spans="1:9">
      <c r="A86" s="1148">
        <v>14.1</v>
      </c>
      <c r="B86" s="135" t="s">
        <v>2238</v>
      </c>
      <c r="C86" s="1159"/>
      <c r="D86" s="1159"/>
      <c r="E86" s="1159"/>
      <c r="F86" s="317"/>
      <c r="G86" s="499"/>
    </row>
    <row r="87" spans="1:9">
      <c r="A87" s="1148"/>
      <c r="B87" s="135"/>
      <c r="C87" s="1159"/>
      <c r="D87" s="1159"/>
      <c r="E87" s="1159"/>
      <c r="F87" s="317"/>
      <c r="G87" s="499"/>
    </row>
    <row r="88" spans="1:9">
      <c r="A88" s="1148"/>
      <c r="B88" s="135" t="s">
        <v>2233</v>
      </c>
      <c r="C88" s="1159"/>
      <c r="D88" s="144">
        <v>1601226</v>
      </c>
      <c r="E88" s="1159"/>
      <c r="F88" s="136">
        <v>1266723.93</v>
      </c>
      <c r="G88" s="499"/>
    </row>
    <row r="89" spans="1:9">
      <c r="A89" s="1148"/>
      <c r="B89" s="1158" t="s">
        <v>2239</v>
      </c>
      <c r="C89" s="1159"/>
      <c r="D89" s="262">
        <v>174744.84</v>
      </c>
      <c r="E89" s="1159"/>
      <c r="F89" s="319">
        <v>188833.95</v>
      </c>
      <c r="G89" s="499"/>
    </row>
    <row r="90" spans="1:9">
      <c r="A90" s="1148"/>
      <c r="B90" s="1158" t="s">
        <v>2240</v>
      </c>
      <c r="C90" s="1159"/>
      <c r="D90" s="331">
        <v>1325368.08</v>
      </c>
      <c r="E90" s="1159"/>
      <c r="F90" s="213">
        <v>2372190.13</v>
      </c>
      <c r="G90" s="499"/>
    </row>
    <row r="91" spans="1:9">
      <c r="A91" s="1148"/>
      <c r="B91" s="1158" t="s">
        <v>2538</v>
      </c>
      <c r="C91" s="1159"/>
      <c r="D91" s="331">
        <v>0</v>
      </c>
      <c r="E91" s="1159"/>
      <c r="F91" s="213"/>
      <c r="G91" s="499"/>
    </row>
    <row r="92" spans="1:9">
      <c r="A92" s="1148"/>
      <c r="B92" s="1158" t="s">
        <v>2242</v>
      </c>
      <c r="C92" s="1159"/>
      <c r="D92" s="327">
        <v>802184.89</v>
      </c>
      <c r="E92" s="1159"/>
      <c r="F92" s="338">
        <v>298747</v>
      </c>
      <c r="G92" s="499"/>
    </row>
    <row r="93" spans="1:9">
      <c r="A93" s="1148"/>
      <c r="B93" s="1158"/>
      <c r="C93" s="1159"/>
      <c r="D93" s="325"/>
      <c r="E93" s="1159"/>
      <c r="F93" s="317"/>
      <c r="G93" s="499"/>
    </row>
    <row r="94" spans="1:9" ht="13.5" thickBot="1">
      <c r="A94" s="1148"/>
      <c r="B94" s="1158"/>
      <c r="C94" s="1159"/>
      <c r="D94" s="154">
        <f>SUM(D88:D93)</f>
        <v>3903523.81</v>
      </c>
      <c r="E94" s="1159"/>
      <c r="F94" s="143">
        <f>SUM(F89:F92)</f>
        <v>2859771.08</v>
      </c>
      <c r="G94" s="499"/>
    </row>
    <row r="95" spans="1:9" ht="13.5" thickTop="1">
      <c r="A95" s="1148"/>
      <c r="B95" s="135" t="s">
        <v>2243</v>
      </c>
      <c r="C95" s="1159"/>
      <c r="D95" s="325"/>
      <c r="E95" s="1159"/>
      <c r="F95" s="317"/>
      <c r="G95" s="499"/>
    </row>
    <row r="96" spans="1:9">
      <c r="A96" s="1148"/>
      <c r="B96" s="1158" t="s">
        <v>2239</v>
      </c>
      <c r="C96" s="1159"/>
      <c r="D96" s="262">
        <v>173228.02</v>
      </c>
      <c r="E96" s="1159"/>
      <c r="F96" s="319">
        <v>117601.23</v>
      </c>
      <c r="G96" s="499"/>
    </row>
    <row r="97" spans="1:7">
      <c r="A97" s="1148"/>
      <c r="B97" s="1158" t="s">
        <v>2240</v>
      </c>
      <c r="C97" s="1159"/>
      <c r="D97" s="331">
        <v>1171400.6399999999</v>
      </c>
      <c r="E97" s="1159"/>
      <c r="F97" s="213">
        <v>1176068.99</v>
      </c>
      <c r="G97" s="499"/>
    </row>
    <row r="98" spans="1:7">
      <c r="A98" s="1148"/>
      <c r="B98" s="1158" t="s">
        <v>2537</v>
      </c>
      <c r="C98" s="1159"/>
      <c r="D98" s="331">
        <v>68078.67</v>
      </c>
      <c r="E98" s="1159"/>
      <c r="F98" s="213">
        <f>681152.94-76439</f>
        <v>604713.93999999994</v>
      </c>
      <c r="G98" s="499"/>
    </row>
    <row r="99" spans="1:7">
      <c r="A99" s="1148"/>
      <c r="B99" s="1563" t="s">
        <v>2242</v>
      </c>
      <c r="C99" s="1159"/>
      <c r="D99" s="327">
        <v>1174576.7</v>
      </c>
      <c r="E99" s="1159"/>
      <c r="F99" s="338">
        <v>2562612.62</v>
      </c>
      <c r="G99" s="499"/>
    </row>
    <row r="100" spans="1:7">
      <c r="A100" s="1148"/>
      <c r="B100" s="1158"/>
      <c r="C100" s="1159"/>
      <c r="D100" s="325"/>
      <c r="E100" s="1159"/>
      <c r="F100" s="317"/>
      <c r="G100" s="499"/>
    </row>
    <row r="101" spans="1:7" ht="13.5" thickBot="1">
      <c r="A101" s="1148"/>
      <c r="B101" s="1158"/>
      <c r="C101" s="1159"/>
      <c r="D101" s="154">
        <f>SUM(D96:D99)</f>
        <v>2587284.0299999998</v>
      </c>
      <c r="E101" s="1159"/>
      <c r="F101" s="143">
        <f>SUM(F96:F100)</f>
        <v>4460996.78</v>
      </c>
      <c r="G101" s="499"/>
    </row>
    <row r="102" spans="1:7" ht="39" thickTop="1">
      <c r="A102" s="1148">
        <v>14.2</v>
      </c>
      <c r="B102" s="142" t="s">
        <v>2244</v>
      </c>
      <c r="C102" s="1159"/>
      <c r="D102" s="325"/>
      <c r="E102" s="1159"/>
      <c r="F102" s="317"/>
      <c r="G102" s="499"/>
    </row>
    <row r="103" spans="1:7">
      <c r="A103" s="1148"/>
      <c r="B103" s="142"/>
      <c r="C103" s="1159"/>
      <c r="D103" s="144">
        <f>SUM(D104:D108)</f>
        <v>0</v>
      </c>
      <c r="E103" s="1159"/>
      <c r="F103" s="317"/>
      <c r="G103" s="499"/>
    </row>
    <row r="104" spans="1:7">
      <c r="A104" s="1148"/>
      <c r="B104" s="1158" t="s">
        <v>2239</v>
      </c>
      <c r="C104" s="1159"/>
      <c r="D104" s="262"/>
      <c r="E104" s="1159"/>
      <c r="F104" s="319"/>
      <c r="G104" s="499"/>
    </row>
    <row r="105" spans="1:7">
      <c r="A105" s="1148"/>
      <c r="B105" s="1158" t="s">
        <v>2240</v>
      </c>
      <c r="C105" s="1159"/>
      <c r="D105" s="331"/>
      <c r="E105" s="1159"/>
      <c r="F105" s="213"/>
      <c r="G105" s="499"/>
    </row>
    <row r="106" spans="1:7">
      <c r="A106" s="1148"/>
      <c r="B106" s="1158" t="s">
        <v>2241</v>
      </c>
      <c r="C106" s="1159"/>
      <c r="D106" s="331"/>
      <c r="E106" s="1159"/>
      <c r="F106" s="213"/>
      <c r="G106" s="499"/>
    </row>
    <row r="107" spans="1:7">
      <c r="A107" s="1148"/>
      <c r="B107" s="1158" t="s">
        <v>2242</v>
      </c>
      <c r="C107" s="1159"/>
      <c r="D107" s="331"/>
      <c r="E107" s="1159"/>
      <c r="F107" s="213"/>
      <c r="G107" s="499"/>
    </row>
    <row r="108" spans="1:7">
      <c r="A108" s="1148"/>
      <c r="B108" s="1158" t="s">
        <v>2537</v>
      </c>
      <c r="C108" s="1159"/>
      <c r="D108" s="327">
        <v>0</v>
      </c>
      <c r="E108" s="1159"/>
      <c r="F108" s="338"/>
      <c r="G108" s="499"/>
    </row>
    <row r="109" spans="1:7">
      <c r="A109" s="1148"/>
      <c r="B109" s="1158"/>
      <c r="C109" s="1159"/>
      <c r="D109" s="325"/>
      <c r="E109" s="1159"/>
      <c r="F109" s="317"/>
      <c r="G109" s="499"/>
    </row>
    <row r="110" spans="1:7" ht="13.5" thickBot="1">
      <c r="A110" s="1148"/>
      <c r="B110" s="135" t="s">
        <v>2245</v>
      </c>
      <c r="C110" s="1159"/>
      <c r="D110" s="410">
        <f>D94-D101</f>
        <v>1316239.7800000003</v>
      </c>
      <c r="E110" s="1159"/>
      <c r="F110" s="410">
        <f>F101-F94</f>
        <v>1601225.7000000002</v>
      </c>
      <c r="G110" s="499"/>
    </row>
    <row r="111" spans="1:7" ht="25.5" hidden="1">
      <c r="A111" s="1148"/>
      <c r="B111" s="1159" t="s">
        <v>2246</v>
      </c>
      <c r="C111" s="1159"/>
      <c r="D111" s="1159"/>
      <c r="E111" s="1159"/>
      <c r="F111" s="317"/>
      <c r="G111" s="499"/>
    </row>
    <row r="112" spans="1:7" hidden="1">
      <c r="A112" s="1148"/>
      <c r="B112" s="1159"/>
      <c r="C112" s="1159"/>
      <c r="D112" s="1159"/>
      <c r="E112" s="1159"/>
      <c r="F112" s="317"/>
      <c r="G112" s="499"/>
    </row>
    <row r="113" spans="1:8" hidden="1">
      <c r="A113" s="1148"/>
      <c r="B113" s="1158"/>
      <c r="C113" s="1158"/>
      <c r="D113" s="1158"/>
      <c r="F113" s="317"/>
      <c r="G113" s="499"/>
    </row>
    <row r="114" spans="1:8" ht="38.25" hidden="1">
      <c r="A114" s="1148"/>
      <c r="B114" s="1159" t="s">
        <v>1755</v>
      </c>
      <c r="C114" s="1159"/>
      <c r="D114" s="1159"/>
      <c r="E114" s="1159"/>
      <c r="F114" s="325"/>
      <c r="G114" s="499"/>
    </row>
    <row r="115" spans="1:8" ht="51" hidden="1">
      <c r="A115" s="1148"/>
      <c r="B115" s="211" t="s">
        <v>1748</v>
      </c>
      <c r="C115" s="211"/>
      <c r="D115" s="211"/>
      <c r="E115" s="211"/>
      <c r="F115" s="328"/>
      <c r="G115" s="499"/>
    </row>
    <row r="116" spans="1:8" s="639" customFormat="1" ht="102" hidden="1">
      <c r="A116" s="1162"/>
      <c r="B116" s="211" t="s">
        <v>1747</v>
      </c>
      <c r="C116" s="211"/>
      <c r="D116" s="211"/>
      <c r="E116" s="211"/>
      <c r="F116" s="328"/>
      <c r="G116" s="638"/>
      <c r="H116" s="896"/>
    </row>
    <row r="117" spans="1:8" s="639" customFormat="1" ht="14.25" thickTop="1" thickBot="1">
      <c r="A117" s="897"/>
      <c r="B117" s="898"/>
      <c r="C117" s="898"/>
      <c r="D117" s="898"/>
      <c r="E117" s="898"/>
      <c r="F117" s="899"/>
      <c r="G117" s="675"/>
      <c r="H117" s="896"/>
    </row>
    <row r="118" spans="1:8" s="639" customFormat="1" ht="43.5" customHeight="1">
      <c r="A118" s="1157"/>
      <c r="B118" s="211"/>
      <c r="C118" s="211"/>
      <c r="D118" s="211"/>
      <c r="E118" s="211"/>
      <c r="F118" s="328"/>
      <c r="G118" s="1159"/>
      <c r="H118" s="241"/>
    </row>
    <row r="119" spans="1:8">
      <c r="A119" s="1149"/>
      <c r="B119" s="1158"/>
      <c r="C119" s="1158"/>
      <c r="D119" s="1158"/>
      <c r="F119" s="317"/>
      <c r="G119" s="1158"/>
      <c r="H119" s="316"/>
    </row>
    <row r="120" spans="1:8">
      <c r="A120" s="1149"/>
      <c r="B120" s="1158"/>
      <c r="C120" s="1158"/>
      <c r="D120" s="1158"/>
      <c r="F120" s="317"/>
      <c r="G120" s="1158"/>
      <c r="H120" s="316"/>
    </row>
    <row r="121" spans="1:8">
      <c r="A121" s="1149"/>
      <c r="B121" s="1158"/>
      <c r="C121" s="1158"/>
      <c r="D121" s="1158"/>
      <c r="F121" s="317"/>
      <c r="G121" s="1158"/>
      <c r="H121" s="316"/>
    </row>
  </sheetData>
  <mergeCells count="2">
    <mergeCell ref="A1:G1"/>
    <mergeCell ref="A2:G2"/>
  </mergeCells>
  <phoneticPr fontId="0" type="noConversion"/>
  <printOptions horizontalCentered="1"/>
  <pageMargins left="0.6692913385826772" right="0.39370078740157483" top="0.98425196850393704" bottom="0.98425196850393704" header="0.51181102362204722" footer="0.51181102362204722"/>
  <pageSetup scale="81" fitToHeight="3" orientation="portrait" r:id="rId1"/>
  <headerFooter>
    <oddHeader>&amp;C FINANCIAL STATEMENTS: MUSINA LOCAL MUNICIPALITY</oddHeader>
    <oddFooter>&amp;RPage &amp;P</oddFooter>
  </headerFooter>
  <rowBreaks count="1" manualBreakCount="1">
    <brk id="72" max="6" man="1"/>
  </rowBreaks>
</worksheet>
</file>

<file path=xl/worksheets/sheet15.xml><?xml version="1.0" encoding="utf-8"?>
<worksheet xmlns="http://schemas.openxmlformats.org/spreadsheetml/2006/main" xmlns:r="http://schemas.openxmlformats.org/officeDocument/2006/relationships">
  <dimension ref="A1:H228"/>
  <sheetViews>
    <sheetView view="pageBreakPreview" topLeftCell="A200" zoomScaleSheetLayoutView="100" workbookViewId="0">
      <selection activeCell="B221" sqref="B221"/>
    </sheetView>
  </sheetViews>
  <sheetFormatPr defaultRowHeight="12.75"/>
  <cols>
    <col min="1" max="1" width="5" style="260" bestFit="1" customWidth="1"/>
    <col min="2" max="2" width="54.140625" style="364" customWidth="1"/>
    <col min="3" max="3" width="19.42578125" style="212" bestFit="1" customWidth="1"/>
    <col min="4" max="4" width="19" style="212" bestFit="1" customWidth="1"/>
    <col min="5" max="5" width="18.42578125" style="212" bestFit="1" customWidth="1"/>
    <col min="6" max="6" width="2.85546875" style="363" customWidth="1"/>
    <col min="7" max="7" width="14.5703125" style="512" customWidth="1"/>
    <col min="8" max="16384" width="9.140625" style="363"/>
  </cols>
  <sheetData>
    <row r="1" spans="1:7">
      <c r="A1" s="592"/>
      <c r="B1" s="593"/>
      <c r="C1" s="593"/>
      <c r="D1" s="593"/>
      <c r="E1" s="415"/>
      <c r="F1" s="416"/>
    </row>
    <row r="2" spans="1:7">
      <c r="A2" s="1718" t="s">
        <v>1349</v>
      </c>
      <c r="B2" s="1686"/>
      <c r="C2" s="1686"/>
      <c r="D2" s="1686"/>
      <c r="E2" s="1686"/>
      <c r="F2" s="1719"/>
    </row>
    <row r="3" spans="1:7">
      <c r="A3" s="1720" t="s">
        <v>2075</v>
      </c>
      <c r="B3" s="1721"/>
      <c r="C3" s="1721"/>
      <c r="D3" s="1721"/>
      <c r="E3" s="1721"/>
      <c r="F3" s="1722"/>
    </row>
    <row r="4" spans="1:7" ht="13.5" thickBot="1">
      <c r="A4" s="1155"/>
      <c r="B4" s="1025"/>
      <c r="F4" s="389"/>
    </row>
    <row r="5" spans="1:7" s="313" customFormat="1">
      <c r="A5" s="402" t="s">
        <v>488</v>
      </c>
      <c r="B5" s="403" t="s">
        <v>2342</v>
      </c>
      <c r="C5" s="593"/>
      <c r="D5" s="593"/>
      <c r="E5" s="593"/>
      <c r="F5" s="416"/>
      <c r="G5" s="312"/>
    </row>
    <row r="6" spans="1:7" s="313" customFormat="1">
      <c r="A6" s="1156"/>
      <c r="B6" s="128" t="s">
        <v>36</v>
      </c>
      <c r="C6" s="212"/>
      <c r="D6" s="212"/>
      <c r="E6" s="212"/>
      <c r="F6" s="389"/>
      <c r="G6" s="312"/>
    </row>
    <row r="7" spans="1:7" s="313" customFormat="1" ht="25.5">
      <c r="A7" s="1148"/>
      <c r="B7" s="142"/>
      <c r="C7" s="168" t="s">
        <v>1367</v>
      </c>
      <c r="D7" s="168" t="s">
        <v>1368</v>
      </c>
      <c r="E7" s="168" t="s">
        <v>1369</v>
      </c>
      <c r="F7" s="499"/>
      <c r="G7" s="312"/>
    </row>
    <row r="8" spans="1:7">
      <c r="A8" s="1148"/>
      <c r="B8" s="142"/>
      <c r="C8" s="167" t="s">
        <v>1314</v>
      </c>
      <c r="D8" s="167" t="s">
        <v>1314</v>
      </c>
      <c r="E8" s="167" t="s">
        <v>1314</v>
      </c>
      <c r="F8" s="499"/>
    </row>
    <row r="9" spans="1:7">
      <c r="A9" s="1155"/>
      <c r="B9" s="169" t="s">
        <v>2076</v>
      </c>
      <c r="F9" s="389"/>
      <c r="G9" s="312"/>
    </row>
    <row r="10" spans="1:7">
      <c r="A10" s="1155"/>
      <c r="B10" s="1160" t="s">
        <v>1370</v>
      </c>
      <c r="C10" s="166">
        <f>SUM(C11:C14)</f>
        <v>16318081.74</v>
      </c>
      <c r="D10" s="166">
        <f>SUM(D11:D14)</f>
        <v>8451392.4299999997</v>
      </c>
      <c r="E10" s="166">
        <f>SUM(E11:E14)</f>
        <v>7866689.3100000015</v>
      </c>
      <c r="F10" s="389"/>
      <c r="G10" s="312"/>
    </row>
    <row r="11" spans="1:7">
      <c r="A11" s="1155"/>
      <c r="B11" s="594" t="s">
        <v>709</v>
      </c>
      <c r="C11" s="595">
        <f>C101</f>
        <v>8109095.8800000008</v>
      </c>
      <c r="D11" s="595">
        <f>6722205.19/2+172556.6</f>
        <v>3533659.1950000003</v>
      </c>
      <c r="E11" s="595">
        <f>+C11-D11</f>
        <v>4575436.6850000005</v>
      </c>
      <c r="F11" s="389"/>
      <c r="G11" s="312">
        <f>C31-C11</f>
        <v>-1801093.7800000012</v>
      </c>
    </row>
    <row r="12" spans="1:7">
      <c r="A12" s="1155"/>
      <c r="B12" s="594" t="s">
        <v>711</v>
      </c>
      <c r="C12" s="596">
        <f>C110</f>
        <v>1995106.01</v>
      </c>
      <c r="D12" s="596">
        <f>968043.62/2+583116.39</f>
        <v>1067138.2</v>
      </c>
      <c r="E12" s="596">
        <f>+C12-D12</f>
        <v>927967.81</v>
      </c>
      <c r="F12" s="389"/>
      <c r="G12" s="312">
        <f t="shared" ref="G12:G15" si="0">C32-C12</f>
        <v>-530163.05999999982</v>
      </c>
    </row>
    <row r="13" spans="1:7">
      <c r="A13" s="1155"/>
      <c r="B13" s="594" t="s">
        <v>1373</v>
      </c>
      <c r="C13" s="596">
        <f>C119</f>
        <v>3866310.99</v>
      </c>
      <c r="D13" s="596">
        <f>3251024.05/2+1616792.95</f>
        <v>3242304.9749999996</v>
      </c>
      <c r="E13" s="596">
        <f>+C13-D13</f>
        <v>624006.0150000006</v>
      </c>
      <c r="F13" s="389"/>
      <c r="G13" s="312">
        <f t="shared" si="0"/>
        <v>302272.79000000004</v>
      </c>
    </row>
    <row r="14" spans="1:7">
      <c r="A14" s="1155"/>
      <c r="B14" s="594" t="s">
        <v>364</v>
      </c>
      <c r="C14" s="597">
        <f>C128+C138+C148+C160+C170</f>
        <v>2347568.86</v>
      </c>
      <c r="D14" s="597">
        <f>1216580.12/2</f>
        <v>608290.06000000006</v>
      </c>
      <c r="E14" s="597">
        <f>+C14-D14</f>
        <v>1739278.7999999998</v>
      </c>
      <c r="F14" s="389"/>
      <c r="G14" s="312">
        <f t="shared" si="0"/>
        <v>318765.60999999987</v>
      </c>
    </row>
    <row r="15" spans="1:7">
      <c r="A15" s="1155"/>
      <c r="B15" s="1160" t="s">
        <v>665</v>
      </c>
      <c r="D15" s="212">
        <v>0</v>
      </c>
      <c r="E15" s="212">
        <f>SUM(C15-D15)</f>
        <v>0</v>
      </c>
      <c r="F15" s="389"/>
      <c r="G15" s="312">
        <f t="shared" si="0"/>
        <v>0</v>
      </c>
    </row>
    <row r="16" spans="1:7">
      <c r="A16" s="1155"/>
      <c r="B16" s="1160" t="s">
        <v>1874</v>
      </c>
      <c r="C16" s="212">
        <v>0</v>
      </c>
      <c r="D16" s="212">
        <v>0</v>
      </c>
      <c r="E16" s="212">
        <f>SUM(C16-D16)</f>
        <v>0</v>
      </c>
      <c r="F16" s="389"/>
      <c r="G16" s="312"/>
    </row>
    <row r="17" spans="1:7">
      <c r="A17" s="1155"/>
      <c r="B17" s="1160" t="s">
        <v>768</v>
      </c>
      <c r="C17" s="212">
        <v>0</v>
      </c>
      <c r="D17" s="212">
        <v>0</v>
      </c>
      <c r="E17" s="212">
        <f>SUM(C17-D17)</f>
        <v>0</v>
      </c>
      <c r="F17" s="389"/>
      <c r="G17" s="312"/>
    </row>
    <row r="18" spans="1:7" ht="13.5" thickBot="1">
      <c r="A18" s="1155"/>
      <c r="B18" s="160" t="s">
        <v>1108</v>
      </c>
      <c r="C18" s="170">
        <f>SUM(C10+C15+C16+C17)</f>
        <v>16318081.74</v>
      </c>
      <c r="D18" s="170">
        <f>SUM(D10+D15+D16+D17)</f>
        <v>8451392.4299999997</v>
      </c>
      <c r="E18" s="170">
        <f>SUM(E10+E15+E16+E17)</f>
        <v>7866689.3100000015</v>
      </c>
      <c r="F18" s="389"/>
      <c r="G18" s="312">
        <f>SUM(G11:G17)</f>
        <v>-1710218.4400000009</v>
      </c>
    </row>
    <row r="19" spans="1:7" ht="13.5" thickTop="1">
      <c r="A19" s="1155"/>
      <c r="B19" s="171"/>
      <c r="F19" s="389"/>
      <c r="G19" s="312"/>
    </row>
    <row r="20" spans="1:7">
      <c r="A20" s="1155"/>
      <c r="B20" s="160" t="s">
        <v>1374</v>
      </c>
      <c r="F20" s="389"/>
      <c r="G20" s="312"/>
    </row>
    <row r="21" spans="1:7">
      <c r="A21" s="1155"/>
      <c r="B21" s="160" t="s">
        <v>1375</v>
      </c>
      <c r="E21" s="212">
        <f>SUM(E22:E27)</f>
        <v>246266.21999999997</v>
      </c>
      <c r="F21" s="389"/>
      <c r="G21" s="312"/>
    </row>
    <row r="22" spans="1:7">
      <c r="A22" s="1155"/>
      <c r="B22" s="594" t="s">
        <v>709</v>
      </c>
      <c r="E22" s="595">
        <v>20898.18</v>
      </c>
      <c r="F22" s="389"/>
      <c r="G22" s="312"/>
    </row>
    <row r="23" spans="1:7">
      <c r="A23" s="1155"/>
      <c r="B23" s="594" t="s">
        <v>711</v>
      </c>
      <c r="E23" s="596">
        <f>886.8-108.9</f>
        <v>777.9</v>
      </c>
      <c r="F23" s="389"/>
      <c r="G23" s="312"/>
    </row>
    <row r="24" spans="1:7">
      <c r="A24" s="1155"/>
      <c r="B24" s="594" t="s">
        <v>1371</v>
      </c>
      <c r="E24" s="596">
        <f>43149.11-5299.01</f>
        <v>37850.1</v>
      </c>
      <c r="F24" s="389"/>
      <c r="G24" s="312"/>
    </row>
    <row r="25" spans="1:7">
      <c r="A25" s="1155"/>
      <c r="B25" s="594" t="s">
        <v>1372</v>
      </c>
      <c r="E25" s="596">
        <v>50060</v>
      </c>
      <c r="F25" s="389"/>
      <c r="G25" s="312"/>
    </row>
    <row r="26" spans="1:7">
      <c r="A26" s="1155"/>
      <c r="B26" s="594" t="s">
        <v>1373</v>
      </c>
      <c r="E26" s="596">
        <v>96130.98</v>
      </c>
      <c r="F26" s="389"/>
      <c r="G26" s="312"/>
    </row>
    <row r="27" spans="1:7">
      <c r="A27" s="1155"/>
      <c r="B27" s="594" t="s">
        <v>364</v>
      </c>
      <c r="E27" s="597">
        <f>3130.29+32125.32+5293.45</f>
        <v>40549.06</v>
      </c>
      <c r="F27" s="389"/>
      <c r="G27" s="312"/>
    </row>
    <row r="28" spans="1:7">
      <c r="A28" s="1155"/>
      <c r="B28" s="160"/>
      <c r="F28" s="389"/>
      <c r="G28" s="312"/>
    </row>
    <row r="29" spans="1:7">
      <c r="A29" s="1155"/>
      <c r="B29" s="169" t="s">
        <v>1821</v>
      </c>
      <c r="F29" s="389"/>
      <c r="G29" s="312"/>
    </row>
    <row r="30" spans="1:7">
      <c r="A30" s="1155"/>
      <c r="B30" s="1160" t="s">
        <v>1370</v>
      </c>
      <c r="C30" s="166">
        <f>SUM(C31:C34)</f>
        <v>14607863.300000001</v>
      </c>
      <c r="D30" s="166">
        <f>SUM(D31:D34)</f>
        <v>5057108.7349999994</v>
      </c>
      <c r="E30" s="166">
        <f>SUM(E31:E34)</f>
        <v>9550754.5649999995</v>
      </c>
      <c r="F30" s="389"/>
      <c r="G30" s="312"/>
    </row>
    <row r="31" spans="1:7">
      <c r="A31" s="1155"/>
      <c r="B31" s="594" t="s">
        <v>709</v>
      </c>
      <c r="C31" s="595">
        <f>E101</f>
        <v>6308002.0999999996</v>
      </c>
      <c r="D31" s="595">
        <f>3547726.52/2</f>
        <v>1773863.26</v>
      </c>
      <c r="E31" s="595">
        <f>+C31-D31</f>
        <v>4534138.84</v>
      </c>
      <c r="F31" s="389"/>
      <c r="G31" s="312"/>
    </row>
    <row r="32" spans="1:7">
      <c r="A32" s="1155"/>
      <c r="B32" s="594" t="s">
        <v>711</v>
      </c>
      <c r="C32" s="596">
        <f>E110</f>
        <v>1464942.9500000002</v>
      </c>
      <c r="D32" s="596">
        <f>457966.24+324537.31+726.91/2</f>
        <v>782867.005</v>
      </c>
      <c r="E32" s="596">
        <f>+C32-D32</f>
        <v>682075.94500000018</v>
      </c>
      <c r="F32" s="389"/>
      <c r="G32" s="312"/>
    </row>
    <row r="33" spans="1:7">
      <c r="A33" s="1155"/>
      <c r="B33" s="594" t="s">
        <v>1373</v>
      </c>
      <c r="C33" s="596">
        <f>E119</f>
        <v>4168583.7800000003</v>
      </c>
      <c r="D33" s="596">
        <f>3722987.56/2</f>
        <v>1861493.78</v>
      </c>
      <c r="E33" s="596">
        <f>+C33-D33</f>
        <v>2307090</v>
      </c>
      <c r="F33" s="389"/>
      <c r="G33" s="312"/>
    </row>
    <row r="34" spans="1:7">
      <c r="A34" s="1155"/>
      <c r="B34" s="594" t="s">
        <v>364</v>
      </c>
      <c r="C34" s="597">
        <f>E128+E138+E148+E160+E170</f>
        <v>2666334.4699999997</v>
      </c>
      <c r="D34" s="597">
        <v>638884.68999999994</v>
      </c>
      <c r="E34" s="597">
        <f>+C34-D34</f>
        <v>2027449.7799999998</v>
      </c>
      <c r="F34" s="389"/>
      <c r="G34" s="312"/>
    </row>
    <row r="35" spans="1:7">
      <c r="A35" s="1155"/>
      <c r="B35" s="1160" t="s">
        <v>665</v>
      </c>
      <c r="D35" s="212">
        <v>0</v>
      </c>
      <c r="E35" s="212">
        <f>SUM(C35-D35)</f>
        <v>0</v>
      </c>
      <c r="F35" s="389"/>
      <c r="G35" s="312"/>
    </row>
    <row r="36" spans="1:7">
      <c r="A36" s="1155"/>
      <c r="B36" s="1160" t="s">
        <v>1848</v>
      </c>
      <c r="C36" s="212">
        <v>-1246321.2</v>
      </c>
      <c r="D36" s="212">
        <v>0</v>
      </c>
      <c r="E36" s="212">
        <f>SUM(C36-D36)</f>
        <v>-1246321.2</v>
      </c>
      <c r="F36" s="389"/>
      <c r="G36" s="312"/>
    </row>
    <row r="37" spans="1:7">
      <c r="A37" s="1155"/>
      <c r="B37" s="1160" t="s">
        <v>768</v>
      </c>
      <c r="C37" s="212">
        <v>20</v>
      </c>
      <c r="D37" s="212">
        <v>0</v>
      </c>
      <c r="E37" s="212">
        <f>SUM(C37-D37)</f>
        <v>20</v>
      </c>
      <c r="F37" s="389"/>
      <c r="G37" s="312"/>
    </row>
    <row r="38" spans="1:7" ht="13.5" thickBot="1">
      <c r="A38" s="1155"/>
      <c r="B38" s="160" t="s">
        <v>1108</v>
      </c>
      <c r="C38" s="170">
        <f>SUM(C30+C35+C36+C37)</f>
        <v>13361562.100000001</v>
      </c>
      <c r="D38" s="170">
        <f>SUM(D30+D35+D36+D37)</f>
        <v>5057108.7349999994</v>
      </c>
      <c r="E38" s="170">
        <f>SUM(E30+E35+E36+E37)</f>
        <v>8304453.3649999993</v>
      </c>
      <c r="F38" s="389"/>
      <c r="G38" s="312">
        <f>E59-E38</f>
        <v>-894453.35999999847</v>
      </c>
    </row>
    <row r="39" spans="1:7" ht="13.5" thickTop="1">
      <c r="A39" s="1155"/>
      <c r="B39" s="171"/>
      <c r="F39" s="389"/>
      <c r="G39" s="312"/>
    </row>
    <row r="40" spans="1:7">
      <c r="A40" s="1155"/>
      <c r="B40" s="160" t="s">
        <v>1374</v>
      </c>
      <c r="F40" s="389"/>
      <c r="G40" s="312"/>
    </row>
    <row r="41" spans="1:7">
      <c r="A41" s="1155"/>
      <c r="B41" s="160" t="s">
        <v>1375</v>
      </c>
      <c r="E41" s="212">
        <f>SUM(E42:E47)</f>
        <v>195338.84</v>
      </c>
      <c r="F41" s="389"/>
      <c r="G41" s="312"/>
    </row>
    <row r="42" spans="1:7">
      <c r="A42" s="1155"/>
      <c r="B42" s="594" t="s">
        <v>709</v>
      </c>
      <c r="E42" s="595">
        <v>14245.2</v>
      </c>
      <c r="F42" s="389"/>
      <c r="G42" s="312"/>
    </row>
    <row r="43" spans="1:7">
      <c r="A43" s="1155"/>
      <c r="B43" s="594" t="s">
        <v>711</v>
      </c>
      <c r="E43" s="596">
        <v>3081.83</v>
      </c>
      <c r="F43" s="389"/>
      <c r="G43" s="312"/>
    </row>
    <row r="44" spans="1:7">
      <c r="A44" s="1155"/>
      <c r="B44" s="594" t="s">
        <v>1371</v>
      </c>
      <c r="E44" s="596">
        <v>39960.78</v>
      </c>
      <c r="F44" s="389"/>
      <c r="G44" s="312"/>
    </row>
    <row r="45" spans="1:7">
      <c r="A45" s="1155"/>
      <c r="B45" s="594" t="s">
        <v>1372</v>
      </c>
      <c r="E45" s="596">
        <v>41493.81</v>
      </c>
      <c r="F45" s="389"/>
      <c r="G45" s="312"/>
    </row>
    <row r="46" spans="1:7">
      <c r="A46" s="1155"/>
      <c r="B46" s="594" t="s">
        <v>1373</v>
      </c>
      <c r="E46" s="596">
        <v>68845</v>
      </c>
      <c r="F46" s="389"/>
      <c r="G46" s="312"/>
    </row>
    <row r="47" spans="1:7">
      <c r="A47" s="1155"/>
      <c r="B47" s="594" t="s">
        <v>364</v>
      </c>
      <c r="E47" s="597">
        <f>25054.65+2657.57</f>
        <v>27712.22</v>
      </c>
      <c r="F47" s="389"/>
      <c r="G47" s="312"/>
    </row>
    <row r="48" spans="1:7">
      <c r="A48" s="1155"/>
      <c r="B48" s="160"/>
      <c r="F48" s="389"/>
      <c r="G48" s="312"/>
    </row>
    <row r="49" spans="1:7">
      <c r="A49" s="1155"/>
      <c r="B49" s="160"/>
      <c r="F49" s="389"/>
      <c r="G49" s="312"/>
    </row>
    <row r="50" spans="1:7" hidden="1">
      <c r="A50" s="1155"/>
      <c r="B50" s="169" t="s">
        <v>1466</v>
      </c>
      <c r="F50" s="389"/>
    </row>
    <row r="51" spans="1:7" hidden="1">
      <c r="A51" s="1155"/>
      <c r="B51" s="1160" t="s">
        <v>1370</v>
      </c>
      <c r="C51" s="166">
        <f>SUM(C52:C55)</f>
        <v>12579830.57</v>
      </c>
      <c r="D51" s="166">
        <f>SUM(D52:D55)</f>
        <v>5170558.0950000007</v>
      </c>
      <c r="E51" s="166">
        <f>SUM(E52:E55)</f>
        <v>7409272.4750000006</v>
      </c>
      <c r="F51" s="389"/>
    </row>
    <row r="52" spans="1:7" hidden="1">
      <c r="A52" s="1155"/>
      <c r="B52" s="594" t="s">
        <v>709</v>
      </c>
      <c r="C52" s="595">
        <v>4591570.97</v>
      </c>
      <c r="D52" s="595">
        <f>3508835.87/2</f>
        <v>1754417.9350000001</v>
      </c>
      <c r="E52" s="595">
        <f>+C52-D52</f>
        <v>2837153.0349999997</v>
      </c>
      <c r="F52" s="389"/>
    </row>
    <row r="53" spans="1:7" hidden="1">
      <c r="A53" s="1155"/>
      <c r="B53" s="594" t="s">
        <v>711</v>
      </c>
      <c r="C53" s="596">
        <v>1052842.79</v>
      </c>
      <c r="D53" s="596">
        <f>345061.61+273612.83+1033.45/2</f>
        <v>619191.16499999992</v>
      </c>
      <c r="E53" s="596">
        <f>+C53-D53</f>
        <v>433651.62500000012</v>
      </c>
      <c r="F53" s="389"/>
    </row>
    <row r="54" spans="1:7" hidden="1">
      <c r="A54" s="1155"/>
      <c r="B54" s="594" t="s">
        <v>1373</v>
      </c>
      <c r="C54" s="596">
        <v>4074717.38</v>
      </c>
      <c r="D54" s="596">
        <f>3651757.85/2</f>
        <v>1825878.925</v>
      </c>
      <c r="E54" s="596">
        <f>+C54-D54</f>
        <v>2248838.4550000001</v>
      </c>
      <c r="F54" s="389"/>
      <c r="G54" s="512">
        <f>C59-C38</f>
        <v>-781004.00000000186</v>
      </c>
    </row>
    <row r="55" spans="1:7" hidden="1">
      <c r="A55" s="1155"/>
      <c r="B55" s="594" t="s">
        <v>364</v>
      </c>
      <c r="C55" s="597">
        <v>2860699.43</v>
      </c>
      <c r="D55" s="597">
        <f>971070.07</f>
        <v>971070.07</v>
      </c>
      <c r="E55" s="597">
        <f>+C55-D55</f>
        <v>1889629.3600000003</v>
      </c>
      <c r="F55" s="389"/>
    </row>
    <row r="56" spans="1:7" hidden="1">
      <c r="A56" s="1155"/>
      <c r="B56" s="1160" t="s">
        <v>665</v>
      </c>
      <c r="D56" s="212">
        <v>0</v>
      </c>
      <c r="E56" s="212">
        <f>SUM(C56-D56)</f>
        <v>0</v>
      </c>
      <c r="F56" s="389"/>
    </row>
    <row r="57" spans="1:7" hidden="1">
      <c r="A57" s="1155"/>
      <c r="B57" s="1160" t="s">
        <v>657</v>
      </c>
      <c r="C57" s="212">
        <v>727.53</v>
      </c>
      <c r="D57" s="212">
        <v>0</v>
      </c>
      <c r="E57" s="212">
        <f>SUM(C57-D57)</f>
        <v>727.53</v>
      </c>
      <c r="F57" s="389"/>
    </row>
    <row r="58" spans="1:7" s="125" customFormat="1" hidden="1">
      <c r="A58" s="1155"/>
      <c r="B58" s="1160" t="s">
        <v>364</v>
      </c>
      <c r="C58" s="212">
        <v>0</v>
      </c>
      <c r="D58" s="212">
        <v>0</v>
      </c>
      <c r="E58" s="212">
        <f>SUM(C58-D58)</f>
        <v>0</v>
      </c>
      <c r="F58" s="389"/>
      <c r="G58" s="122"/>
    </row>
    <row r="59" spans="1:7" ht="13.5" hidden="1" thickBot="1">
      <c r="A59" s="1155"/>
      <c r="B59" s="160" t="s">
        <v>1108</v>
      </c>
      <c r="C59" s="170">
        <f>SUM(C51+C56+C57+C58)</f>
        <v>12580558.1</v>
      </c>
      <c r="D59" s="170">
        <f>SUM(D51+D56+D57+D58)</f>
        <v>5170558.0950000007</v>
      </c>
      <c r="E59" s="170">
        <f>SUM(E51+E56+E57+E58)</f>
        <v>7410000.0050000008</v>
      </c>
      <c r="F59" s="404"/>
      <c r="G59" s="512">
        <f>E80-E59</f>
        <v>-398329.95500000007</v>
      </c>
    </row>
    <row r="60" spans="1:7" ht="13.5" hidden="1" thickTop="1">
      <c r="A60" s="1155"/>
      <c r="B60" s="171"/>
      <c r="F60" s="389"/>
    </row>
    <row r="61" spans="1:7" hidden="1">
      <c r="A61" s="1155"/>
      <c r="B61" s="160" t="s">
        <v>1374</v>
      </c>
      <c r="F61" s="389"/>
    </row>
    <row r="62" spans="1:7" hidden="1">
      <c r="A62" s="1155"/>
      <c r="B62" s="160" t="s">
        <v>1375</v>
      </c>
      <c r="E62" s="212">
        <f>SUM(E63:E68)</f>
        <v>1768264.5699999998</v>
      </c>
      <c r="F62" s="389"/>
    </row>
    <row r="63" spans="1:7" hidden="1">
      <c r="A63" s="1155"/>
      <c r="B63" s="594" t="s">
        <v>709</v>
      </c>
      <c r="E63" s="595">
        <v>83525.289999999994</v>
      </c>
      <c r="F63" s="389"/>
    </row>
    <row r="64" spans="1:7" hidden="1">
      <c r="A64" s="1155"/>
      <c r="B64" s="594" t="s">
        <v>711</v>
      </c>
      <c r="E64" s="596">
        <v>0</v>
      </c>
      <c r="F64" s="389"/>
    </row>
    <row r="65" spans="1:6" hidden="1">
      <c r="A65" s="1155"/>
      <c r="B65" s="594" t="s">
        <v>1371</v>
      </c>
      <c r="E65" s="596">
        <v>0</v>
      </c>
      <c r="F65" s="389"/>
    </row>
    <row r="66" spans="1:6" hidden="1">
      <c r="A66" s="1155"/>
      <c r="B66" s="594" t="s">
        <v>1372</v>
      </c>
      <c r="E66" s="596">
        <v>0</v>
      </c>
      <c r="F66" s="389"/>
    </row>
    <row r="67" spans="1:6" hidden="1">
      <c r="A67" s="1155"/>
      <c r="B67" s="594" t="s">
        <v>1373</v>
      </c>
      <c r="E67" s="596">
        <v>262116.13</v>
      </c>
      <c r="F67" s="389"/>
    </row>
    <row r="68" spans="1:6" hidden="1">
      <c r="A68" s="1155"/>
      <c r="B68" s="594" t="s">
        <v>364</v>
      </c>
      <c r="E68" s="597">
        <v>1422623.15</v>
      </c>
      <c r="F68" s="389"/>
    </row>
    <row r="69" spans="1:6" hidden="1">
      <c r="A69" s="1155"/>
      <c r="B69" s="1025"/>
      <c r="F69" s="389"/>
    </row>
    <row r="70" spans="1:6" hidden="1">
      <c r="A70" s="1155"/>
      <c r="B70" s="1025"/>
      <c r="F70" s="389"/>
    </row>
    <row r="71" spans="1:6" hidden="1">
      <c r="A71" s="1155"/>
      <c r="B71" s="169" t="s">
        <v>1192</v>
      </c>
      <c r="F71" s="389"/>
    </row>
    <row r="72" spans="1:6" hidden="1">
      <c r="A72" s="1155"/>
      <c r="B72" s="1160" t="s">
        <v>1370</v>
      </c>
      <c r="C72" s="166">
        <f>SUM(C73:C76)</f>
        <v>12906878.73</v>
      </c>
      <c r="D72" s="166">
        <f>SUM(D73:D76)</f>
        <v>5651075.1699999999</v>
      </c>
      <c r="E72" s="166">
        <f>SUM(E73:E76)</f>
        <v>7255803.5600000005</v>
      </c>
      <c r="F72" s="389"/>
    </row>
    <row r="73" spans="1:6" hidden="1">
      <c r="A73" s="1155"/>
      <c r="B73" s="594" t="s">
        <v>709</v>
      </c>
      <c r="C73" s="595">
        <v>3363756.36</v>
      </c>
      <c r="D73" s="595">
        <v>1296026.4099999999</v>
      </c>
      <c r="E73" s="595">
        <f>+C73-D73</f>
        <v>2067729.95</v>
      </c>
      <c r="F73" s="389"/>
    </row>
    <row r="74" spans="1:6" hidden="1">
      <c r="A74" s="1155"/>
      <c r="B74" s="594" t="s">
        <v>711</v>
      </c>
      <c r="C74" s="596">
        <v>1080370.05</v>
      </c>
      <c r="D74" s="596">
        <v>241267.23</v>
      </c>
      <c r="E74" s="596">
        <f>+C74-D74</f>
        <v>839102.82000000007</v>
      </c>
      <c r="F74" s="389"/>
    </row>
    <row r="75" spans="1:6" hidden="1">
      <c r="A75" s="1155"/>
      <c r="B75" s="594" t="s">
        <v>1373</v>
      </c>
      <c r="C75" s="596">
        <v>4268957.41</v>
      </c>
      <c r="D75" s="596">
        <v>1881259.96</v>
      </c>
      <c r="E75" s="596">
        <f>+C75-D75</f>
        <v>2387697.4500000002</v>
      </c>
      <c r="F75" s="389"/>
    </row>
    <row r="76" spans="1:6" hidden="1">
      <c r="A76" s="1155"/>
      <c r="B76" s="594" t="s">
        <v>364</v>
      </c>
      <c r="C76" s="597">
        <f>4193794.91</f>
        <v>4193794.91</v>
      </c>
      <c r="D76" s="597">
        <v>2232521.5699999998</v>
      </c>
      <c r="E76" s="597">
        <f>+C76-D76</f>
        <v>1961273.3400000003</v>
      </c>
      <c r="F76" s="389"/>
    </row>
    <row r="77" spans="1:6" hidden="1">
      <c r="A77" s="1155"/>
      <c r="B77" s="1160" t="s">
        <v>656</v>
      </c>
      <c r="C77" s="212">
        <f>-58891.69+1.28</f>
        <v>-58890.41</v>
      </c>
      <c r="D77" s="212">
        <v>0</v>
      </c>
      <c r="E77" s="212">
        <f>SUM(C77-D77)</f>
        <v>-58890.41</v>
      </c>
      <c r="F77" s="389"/>
    </row>
    <row r="78" spans="1:6" hidden="1">
      <c r="A78" s="1155"/>
      <c r="B78" s="1160" t="s">
        <v>657</v>
      </c>
      <c r="C78" s="212">
        <v>-185243.1</v>
      </c>
      <c r="D78" s="212">
        <v>0</v>
      </c>
      <c r="E78" s="212">
        <f>SUM(C78-D78)</f>
        <v>-185243.1</v>
      </c>
      <c r="F78" s="389"/>
    </row>
    <row r="79" spans="1:6" hidden="1">
      <c r="A79" s="1155"/>
      <c r="B79" s="1160" t="s">
        <v>364</v>
      </c>
      <c r="C79" s="212">
        <v>0</v>
      </c>
      <c r="D79" s="212">
        <v>0</v>
      </c>
      <c r="E79" s="212">
        <f>SUM(C79-D79)</f>
        <v>0</v>
      </c>
      <c r="F79" s="389"/>
    </row>
    <row r="80" spans="1:6" ht="13.5" hidden="1" thickBot="1">
      <c r="A80" s="1155"/>
      <c r="B80" s="160" t="s">
        <v>1108</v>
      </c>
      <c r="C80" s="170">
        <f>SUM(C72+C77+C78+C79)</f>
        <v>12662745.220000001</v>
      </c>
      <c r="D80" s="170">
        <f>SUM(D72+D77+D78+D79)</f>
        <v>5651075.1699999999</v>
      </c>
      <c r="E80" s="170">
        <f>SUM(E72+E77+E78+E79)</f>
        <v>7011670.0500000007</v>
      </c>
      <c r="F80" s="389"/>
    </row>
    <row r="81" spans="1:6" ht="13.5" hidden="1" thickTop="1">
      <c r="A81" s="1155"/>
      <c r="B81" s="171"/>
      <c r="F81" s="389"/>
    </row>
    <row r="82" spans="1:6" hidden="1">
      <c r="A82" s="1155"/>
      <c r="B82" s="160" t="s">
        <v>1374</v>
      </c>
      <c r="F82" s="389"/>
    </row>
    <row r="83" spans="1:6" hidden="1">
      <c r="A83" s="1155"/>
      <c r="B83" s="160" t="s">
        <v>1375</v>
      </c>
      <c r="E83" s="212">
        <f>SUM(E84:E89)</f>
        <v>351104</v>
      </c>
      <c r="F83" s="389"/>
    </row>
    <row r="84" spans="1:6" hidden="1">
      <c r="A84" s="1155"/>
      <c r="B84" s="594" t="s">
        <v>709</v>
      </c>
      <c r="E84" s="595">
        <v>42405</v>
      </c>
      <c r="F84" s="389"/>
    </row>
    <row r="85" spans="1:6" hidden="1">
      <c r="A85" s="1155"/>
      <c r="B85" s="594" t="s">
        <v>711</v>
      </c>
      <c r="E85" s="596">
        <v>3142</v>
      </c>
      <c r="F85" s="389"/>
    </row>
    <row r="86" spans="1:6" hidden="1">
      <c r="A86" s="1155"/>
      <c r="B86" s="594" t="s">
        <v>1371</v>
      </c>
      <c r="E86" s="596">
        <v>101738</v>
      </c>
      <c r="F86" s="389"/>
    </row>
    <row r="87" spans="1:6" hidden="1">
      <c r="A87" s="1155"/>
      <c r="B87" s="594" t="s">
        <v>1372</v>
      </c>
      <c r="E87" s="596">
        <v>40968</v>
      </c>
      <c r="F87" s="389"/>
    </row>
    <row r="88" spans="1:6" hidden="1">
      <c r="A88" s="1155"/>
      <c r="B88" s="594" t="s">
        <v>1373</v>
      </c>
      <c r="E88" s="596">
        <v>53454</v>
      </c>
      <c r="F88" s="389"/>
    </row>
    <row r="89" spans="1:6" hidden="1">
      <c r="A89" s="1155"/>
      <c r="B89" s="594" t="s">
        <v>364</v>
      </c>
      <c r="E89" s="597">
        <v>109397</v>
      </c>
      <c r="F89" s="389"/>
    </row>
    <row r="90" spans="1:6">
      <c r="A90" s="400"/>
      <c r="B90" s="409"/>
      <c r="C90" s="598"/>
      <c r="D90" s="598"/>
      <c r="E90" s="598"/>
      <c r="F90" s="599"/>
    </row>
    <row r="91" spans="1:6">
      <c r="A91" s="401"/>
      <c r="B91" s="470"/>
      <c r="C91" s="600"/>
      <c r="D91" s="600"/>
      <c r="E91" s="600"/>
      <c r="F91" s="601"/>
    </row>
    <row r="92" spans="1:6">
      <c r="A92" s="1155"/>
      <c r="B92" s="1025"/>
      <c r="C92" s="165" t="s">
        <v>2077</v>
      </c>
      <c r="D92" s="172"/>
      <c r="E92" s="165" t="s">
        <v>1796</v>
      </c>
      <c r="F92" s="389"/>
    </row>
    <row r="93" spans="1:6">
      <c r="A93" s="1155"/>
      <c r="B93" s="160"/>
      <c r="C93" s="172" t="s">
        <v>1314</v>
      </c>
      <c r="D93" s="172"/>
      <c r="E93" s="172" t="s">
        <v>1314</v>
      </c>
      <c r="F93" s="389"/>
    </row>
    <row r="94" spans="1:6">
      <c r="A94" s="1155"/>
      <c r="B94" s="1160" t="s">
        <v>526</v>
      </c>
      <c r="F94" s="389"/>
    </row>
    <row r="95" spans="1:6">
      <c r="A95" s="1155"/>
      <c r="B95" s="957" t="s">
        <v>2461</v>
      </c>
      <c r="C95" s="595">
        <v>423585.61</v>
      </c>
      <c r="E95" s="595">
        <v>0</v>
      </c>
      <c r="F95" s="389"/>
    </row>
    <row r="96" spans="1:6">
      <c r="A96" s="1155"/>
      <c r="B96" s="957" t="s">
        <v>2460</v>
      </c>
      <c r="C96" s="596">
        <v>322379.73</v>
      </c>
      <c r="E96" s="596">
        <v>135719.5</v>
      </c>
      <c r="F96" s="389"/>
    </row>
    <row r="97" spans="1:8">
      <c r="A97" s="1155"/>
      <c r="B97" s="957" t="s">
        <v>527</v>
      </c>
      <c r="C97" s="596">
        <v>295812.13</v>
      </c>
      <c r="E97" s="596">
        <v>560151.80000000005</v>
      </c>
      <c r="F97" s="389"/>
    </row>
    <row r="98" spans="1:8">
      <c r="A98" s="1155"/>
      <c r="B98" s="957" t="s">
        <v>528</v>
      </c>
      <c r="C98" s="596">
        <v>345113.22</v>
      </c>
      <c r="E98" s="596">
        <v>362610.5</v>
      </c>
      <c r="F98" s="389"/>
    </row>
    <row r="99" spans="1:8">
      <c r="A99" s="1155"/>
      <c r="B99" s="957" t="s">
        <v>529</v>
      </c>
      <c r="C99" s="596">
        <v>222934.37</v>
      </c>
      <c r="E99" s="596">
        <v>224648</v>
      </c>
      <c r="F99" s="389"/>
      <c r="G99" s="212"/>
    </row>
    <row r="100" spans="1:8" s="125" customFormat="1">
      <c r="A100" s="1155"/>
      <c r="B100" s="957" t="s">
        <v>662</v>
      </c>
      <c r="C100" s="597">
        <v>6499270.8200000003</v>
      </c>
      <c r="D100" s="212"/>
      <c r="E100" s="597">
        <f>220421.3+4804451</f>
        <v>5024872.3</v>
      </c>
      <c r="F100" s="389"/>
      <c r="G100" s="122"/>
      <c r="H100" s="363"/>
    </row>
    <row r="101" spans="1:8">
      <c r="A101" s="1155"/>
      <c r="B101" s="160" t="s">
        <v>1363</v>
      </c>
      <c r="C101" s="166">
        <f>SUM(C95:C100)</f>
        <v>8109095.8800000008</v>
      </c>
      <c r="D101" s="166"/>
      <c r="E101" s="166">
        <f>SUM(E95:E100)</f>
        <v>6308002.0999999996</v>
      </c>
      <c r="F101" s="404"/>
    </row>
    <row r="102" spans="1:8">
      <c r="A102" s="1155"/>
      <c r="B102" s="1025"/>
      <c r="F102" s="389"/>
    </row>
    <row r="103" spans="1:8">
      <c r="A103" s="1155"/>
      <c r="B103" s="1160" t="s">
        <v>663</v>
      </c>
      <c r="F103" s="389"/>
    </row>
    <row r="104" spans="1:8">
      <c r="A104" s="1155"/>
      <c r="B104" s="594" t="s">
        <v>2461</v>
      </c>
      <c r="C104" s="595">
        <f>521564.69+34146.04</f>
        <v>555710.73</v>
      </c>
      <c r="E104" s="595">
        <v>0</v>
      </c>
      <c r="F104" s="389"/>
    </row>
    <row r="105" spans="1:8">
      <c r="A105" s="1155"/>
      <c r="B105" s="957" t="s">
        <v>2460</v>
      </c>
      <c r="C105" s="596">
        <f>214874.04+24214.2</f>
        <v>239088.24000000002</v>
      </c>
      <c r="E105" s="596">
        <f>65058.93+2185.43</f>
        <v>67244.36</v>
      </c>
      <c r="F105" s="389"/>
    </row>
    <row r="106" spans="1:8">
      <c r="A106" s="1155"/>
      <c r="B106" s="594" t="s">
        <v>527</v>
      </c>
      <c r="C106" s="596">
        <f>114159.78+19009.06</f>
        <v>133168.84</v>
      </c>
      <c r="E106" s="596">
        <f>255989+29292.77</f>
        <v>285281.77</v>
      </c>
      <c r="F106" s="389"/>
    </row>
    <row r="107" spans="1:8">
      <c r="A107" s="1155"/>
      <c r="B107" s="594" t="s">
        <v>528</v>
      </c>
      <c r="C107" s="596">
        <f>80529.09+18565.49</f>
        <v>99094.58</v>
      </c>
      <c r="E107" s="596">
        <f>180055.7+19948.86</f>
        <v>200004.56</v>
      </c>
      <c r="F107" s="389"/>
    </row>
    <row r="108" spans="1:8">
      <c r="A108" s="1155"/>
      <c r="B108" s="594" t="s">
        <v>529</v>
      </c>
      <c r="C108" s="596">
        <f>76467.77+13880.09</f>
        <v>90347.86</v>
      </c>
      <c r="E108" s="596">
        <f>101728.2+17105.34</f>
        <v>118833.54</v>
      </c>
      <c r="F108" s="389"/>
    </row>
    <row r="109" spans="1:8">
      <c r="A109" s="1155"/>
      <c r="B109" s="594" t="s">
        <v>662</v>
      </c>
      <c r="C109" s="597">
        <f>531914.03+345781.73</f>
        <v>877695.76</v>
      </c>
      <c r="E109" s="597">
        <f>61764.44+15176.77+406454.2+309456.4+726.91</f>
        <v>793578.72000000009</v>
      </c>
      <c r="F109" s="389"/>
    </row>
    <row r="110" spans="1:8">
      <c r="A110" s="1155"/>
      <c r="B110" s="160" t="s">
        <v>1363</v>
      </c>
      <c r="C110" s="166">
        <f>SUM(C104:C109)</f>
        <v>1995106.01</v>
      </c>
      <c r="D110" s="166"/>
      <c r="E110" s="166">
        <f>SUM(E104:E109)</f>
        <v>1464942.9500000002</v>
      </c>
      <c r="F110" s="389"/>
    </row>
    <row r="111" spans="1:8">
      <c r="A111" s="1155"/>
      <c r="B111" s="1025"/>
      <c r="F111" s="389"/>
    </row>
    <row r="112" spans="1:8">
      <c r="A112" s="1155"/>
      <c r="B112" s="1160" t="s">
        <v>1373</v>
      </c>
      <c r="F112" s="389"/>
    </row>
    <row r="113" spans="1:6">
      <c r="A113" s="1155"/>
      <c r="B113" s="594" t="s">
        <v>2462</v>
      </c>
      <c r="C113" s="602">
        <f>222177.79+1.77</f>
        <v>222179.56</v>
      </c>
      <c r="E113" s="602">
        <v>0</v>
      </c>
      <c r="F113" s="389"/>
    </row>
    <row r="114" spans="1:6">
      <c r="A114" s="1155"/>
      <c r="B114" s="957" t="s">
        <v>2460</v>
      </c>
      <c r="C114" s="603">
        <f>139073.77+1.44</f>
        <v>139075.21</v>
      </c>
      <c r="E114" s="603">
        <f>16140.88+0.2</f>
        <v>16141.08</v>
      </c>
      <c r="F114" s="389"/>
    </row>
    <row r="115" spans="1:6">
      <c r="A115" s="1155"/>
      <c r="B115" s="594" t="s">
        <v>527</v>
      </c>
      <c r="C115" s="603">
        <f>126920.32+1.43</f>
        <v>126921.75</v>
      </c>
      <c r="E115" s="603">
        <f>158629.2+1.33</f>
        <v>158630.53</v>
      </c>
      <c r="F115" s="389"/>
    </row>
    <row r="116" spans="1:6">
      <c r="A116" s="1155"/>
      <c r="B116" s="594" t="s">
        <v>528</v>
      </c>
      <c r="C116" s="603">
        <f>127108.73+1.69</f>
        <v>127110.42</v>
      </c>
      <c r="E116" s="603">
        <f>142527.4+1.32</f>
        <v>142528.72</v>
      </c>
      <c r="F116" s="389"/>
    </row>
    <row r="117" spans="1:6">
      <c r="A117" s="1155"/>
      <c r="B117" s="594" t="s">
        <v>529</v>
      </c>
      <c r="C117" s="603">
        <f>99756.26+1.14</f>
        <v>99757.4</v>
      </c>
      <c r="E117" s="603">
        <f>122736.1+1.31</f>
        <v>122737.41</v>
      </c>
      <c r="F117" s="389"/>
    </row>
    <row r="118" spans="1:6">
      <c r="A118" s="1155"/>
      <c r="B118" s="594" t="s">
        <v>662</v>
      </c>
      <c r="C118" s="604">
        <f>3151232.71+33.94</f>
        <v>3151266.65</v>
      </c>
      <c r="E118" s="604">
        <f>115030.4+1.3+3613494.76+19.58</f>
        <v>3728546.04</v>
      </c>
      <c r="F118" s="389"/>
    </row>
    <row r="119" spans="1:6">
      <c r="A119" s="1155"/>
      <c r="B119" s="160" t="s">
        <v>1363</v>
      </c>
      <c r="C119" s="173">
        <f>SUM(C113:C118)</f>
        <v>3866310.99</v>
      </c>
      <c r="E119" s="166">
        <f>SUM(E113:E118)</f>
        <v>4168583.7800000003</v>
      </c>
      <c r="F119" s="389"/>
    </row>
    <row r="120" spans="1:6">
      <c r="A120" s="1155"/>
      <c r="B120" s="1025"/>
      <c r="F120" s="389"/>
    </row>
    <row r="121" spans="1:6">
      <c r="A121" s="1155"/>
      <c r="B121" s="1160" t="s">
        <v>1443</v>
      </c>
      <c r="F121" s="389"/>
    </row>
    <row r="122" spans="1:6">
      <c r="A122" s="1155"/>
      <c r="B122" s="594" t="s">
        <v>2462</v>
      </c>
      <c r="C122" s="595">
        <f>7957.65+1844.3</f>
        <v>9801.9499999999989</v>
      </c>
      <c r="E122" s="595">
        <v>0</v>
      </c>
      <c r="F122" s="389"/>
    </row>
    <row r="123" spans="1:6">
      <c r="A123" s="1155"/>
      <c r="B123" s="957" t="s">
        <v>2460</v>
      </c>
      <c r="C123" s="596">
        <v>4413.92</v>
      </c>
      <c r="E123" s="596">
        <f>5444.92+113.29</f>
        <v>5558.21</v>
      </c>
      <c r="F123" s="389"/>
    </row>
    <row r="124" spans="1:6">
      <c r="A124" s="1155"/>
      <c r="B124" s="594" t="s">
        <v>527</v>
      </c>
      <c r="C124" s="596">
        <f>4901.21+153.22</f>
        <v>5054.43</v>
      </c>
      <c r="D124" s="212">
        <v>0</v>
      </c>
      <c r="E124" s="596">
        <f>3804.15+3261.04</f>
        <v>7065.1900000000005</v>
      </c>
      <c r="F124" s="389"/>
    </row>
    <row r="125" spans="1:6">
      <c r="A125" s="1155"/>
      <c r="B125" s="594" t="s">
        <v>528</v>
      </c>
      <c r="C125" s="596">
        <f>4886.18+275.48</f>
        <v>5161.66</v>
      </c>
      <c r="E125" s="596">
        <f>3597.36+3257.24</f>
        <v>6854.6</v>
      </c>
      <c r="F125" s="389"/>
    </row>
    <row r="126" spans="1:6">
      <c r="A126" s="1155"/>
      <c r="B126" s="594" t="s">
        <v>529</v>
      </c>
      <c r="C126" s="596">
        <f>3805.54+3528.71</f>
        <v>7334.25</v>
      </c>
      <c r="E126" s="596">
        <f>2846.07+3776.25</f>
        <v>6622.32</v>
      </c>
      <c r="F126" s="389"/>
    </row>
    <row r="127" spans="1:6">
      <c r="A127" s="1155"/>
      <c r="B127" s="594" t="s">
        <v>662</v>
      </c>
      <c r="C127" s="597">
        <f>85223.28+14026.17</f>
        <v>99249.45</v>
      </c>
      <c r="E127" s="597">
        <f>3690.39+139042.95+342</f>
        <v>143075.34000000003</v>
      </c>
      <c r="F127" s="389"/>
    </row>
    <row r="128" spans="1:6">
      <c r="A128" s="1155"/>
      <c r="B128" s="160" t="s">
        <v>1363</v>
      </c>
      <c r="C128" s="166">
        <f>SUM(C122:C127)</f>
        <v>131015.66</v>
      </c>
      <c r="E128" s="166">
        <f>SUM(E122:E127)</f>
        <v>169175.66000000003</v>
      </c>
      <c r="F128" s="389"/>
    </row>
    <row r="129" spans="1:7">
      <c r="A129" s="1155"/>
      <c r="B129" s="1025"/>
      <c r="F129" s="389"/>
    </row>
    <row r="130" spans="1:7">
      <c r="A130" s="1155"/>
      <c r="B130" s="1025"/>
      <c r="F130" s="389"/>
    </row>
    <row r="131" spans="1:7">
      <c r="A131" s="1155"/>
      <c r="B131" s="1160" t="s">
        <v>1123</v>
      </c>
      <c r="F131" s="389"/>
    </row>
    <row r="132" spans="1:7">
      <c r="A132" s="1155"/>
      <c r="B132" s="594" t="s">
        <v>2461</v>
      </c>
      <c r="C132" s="595">
        <f>175.44+68.75</f>
        <v>244.19</v>
      </c>
      <c r="E132" s="595">
        <v>0</v>
      </c>
      <c r="F132" s="389"/>
    </row>
    <row r="133" spans="1:7">
      <c r="A133" s="1155"/>
      <c r="B133" s="957" t="s">
        <v>2460</v>
      </c>
      <c r="C133" s="596">
        <v>68.75</v>
      </c>
      <c r="E133" s="596">
        <v>87.72</v>
      </c>
      <c r="F133" s="389"/>
    </row>
    <row r="134" spans="1:7">
      <c r="A134" s="1155"/>
      <c r="B134" s="594" t="s">
        <v>527</v>
      </c>
      <c r="C134" s="596">
        <f>87.72+68.4</f>
        <v>156.12</v>
      </c>
      <c r="E134" s="596">
        <f>87.72+57.14</f>
        <v>144.86000000000001</v>
      </c>
      <c r="F134" s="389"/>
    </row>
    <row r="135" spans="1:7">
      <c r="A135" s="1155"/>
      <c r="B135" s="594" t="s">
        <v>528</v>
      </c>
      <c r="C135" s="596">
        <f>175.44+62.5</f>
        <v>237.94</v>
      </c>
      <c r="E135" s="596">
        <f>87.72+56.25</f>
        <v>143.97</v>
      </c>
      <c r="F135" s="389"/>
    </row>
    <row r="136" spans="1:7">
      <c r="A136" s="1155"/>
      <c r="B136" s="594" t="s">
        <v>529</v>
      </c>
      <c r="C136" s="596">
        <v>61.74</v>
      </c>
      <c r="E136" s="596">
        <f>87.72+56.25</f>
        <v>143.97</v>
      </c>
      <c r="F136" s="389"/>
    </row>
    <row r="137" spans="1:7">
      <c r="A137" s="1155"/>
      <c r="B137" s="594" t="s">
        <v>662</v>
      </c>
      <c r="C137" s="597">
        <f>124391.18+43532.99+5954.07</f>
        <v>173878.24</v>
      </c>
      <c r="E137" s="597">
        <f>87.52+56.25+126158.86+383.02+45026.68+5790.32</f>
        <v>177502.65000000002</v>
      </c>
      <c r="F137" s="389"/>
    </row>
    <row r="138" spans="1:7" s="606" customFormat="1">
      <c r="A138" s="1155"/>
      <c r="B138" s="160" t="s">
        <v>1363</v>
      </c>
      <c r="C138" s="166">
        <f>SUM(C132:C137)</f>
        <v>174646.97999999998</v>
      </c>
      <c r="D138" s="212"/>
      <c r="E138" s="166">
        <f>SUM(E132:E137)</f>
        <v>178023.17</v>
      </c>
      <c r="F138" s="389"/>
      <c r="G138" s="605"/>
    </row>
    <row r="139" spans="1:7">
      <c r="A139" s="1155"/>
      <c r="B139" s="1025"/>
      <c r="F139" s="389"/>
    </row>
    <row r="140" spans="1:7">
      <c r="A140" s="1155"/>
      <c r="B140" s="1025"/>
      <c r="F140" s="389"/>
    </row>
    <row r="141" spans="1:7">
      <c r="A141" s="1155"/>
      <c r="B141" s="1160" t="s">
        <v>1515</v>
      </c>
      <c r="F141" s="389"/>
    </row>
    <row r="142" spans="1:7">
      <c r="A142" s="1155"/>
      <c r="B142" s="594" t="s">
        <v>2462</v>
      </c>
      <c r="C142" s="595"/>
      <c r="E142" s="595">
        <v>0</v>
      </c>
      <c r="F142" s="389"/>
    </row>
    <row r="143" spans="1:7">
      <c r="A143" s="1155"/>
      <c r="B143" s="957" t="s">
        <v>2460</v>
      </c>
      <c r="C143" s="596"/>
      <c r="E143" s="596">
        <v>0</v>
      </c>
      <c r="F143" s="389"/>
    </row>
    <row r="144" spans="1:7">
      <c r="A144" s="1155"/>
      <c r="B144" s="594" t="s">
        <v>527</v>
      </c>
      <c r="C144" s="596"/>
      <c r="E144" s="596">
        <v>0</v>
      </c>
      <c r="F144" s="389"/>
    </row>
    <row r="145" spans="1:6">
      <c r="A145" s="1155"/>
      <c r="B145" s="594" t="s">
        <v>528</v>
      </c>
      <c r="C145" s="596"/>
      <c r="E145" s="596">
        <v>0</v>
      </c>
      <c r="F145" s="389"/>
    </row>
    <row r="146" spans="1:6">
      <c r="A146" s="1155"/>
      <c r="B146" s="594" t="s">
        <v>529</v>
      </c>
      <c r="C146" s="596">
        <v>0</v>
      </c>
      <c r="E146" s="596">
        <v>55230.52</v>
      </c>
      <c r="F146" s="389"/>
    </row>
    <row r="147" spans="1:6">
      <c r="A147" s="1155"/>
      <c r="B147" s="594" t="s">
        <v>662</v>
      </c>
      <c r="C147" s="597">
        <v>44233.919999999998</v>
      </c>
      <c r="E147" s="597">
        <v>0</v>
      </c>
      <c r="F147" s="389"/>
    </row>
    <row r="148" spans="1:6">
      <c r="A148" s="1155"/>
      <c r="B148" s="160" t="s">
        <v>1363</v>
      </c>
      <c r="C148" s="166">
        <f>SUM(C142:C147)</f>
        <v>44233.919999999998</v>
      </c>
      <c r="E148" s="166">
        <f>SUM(E142:E147)</f>
        <v>55230.52</v>
      </c>
      <c r="F148" s="389"/>
    </row>
    <row r="149" spans="1:6">
      <c r="A149" s="1155"/>
      <c r="B149" s="1025"/>
      <c r="F149" s="389"/>
    </row>
    <row r="150" spans="1:6">
      <c r="A150" s="1155"/>
      <c r="B150" s="1025"/>
      <c r="F150" s="389"/>
    </row>
    <row r="151" spans="1:6">
      <c r="A151" s="1155"/>
      <c r="B151" s="1025"/>
      <c r="C151" s="165" t="s">
        <v>2077</v>
      </c>
      <c r="D151" s="172"/>
      <c r="E151" s="165" t="s">
        <v>1796</v>
      </c>
      <c r="F151" s="389"/>
    </row>
    <row r="152" spans="1:6">
      <c r="A152" s="1155"/>
      <c r="B152" s="1025"/>
      <c r="C152" s="172" t="s">
        <v>1314</v>
      </c>
      <c r="D152" s="172"/>
      <c r="E152" s="172" t="s">
        <v>1314</v>
      </c>
      <c r="F152" s="389"/>
    </row>
    <row r="153" spans="1:6">
      <c r="A153" s="1155"/>
      <c r="B153" s="1160" t="s">
        <v>665</v>
      </c>
      <c r="F153" s="389"/>
    </row>
    <row r="154" spans="1:6">
      <c r="A154" s="1155"/>
      <c r="B154" s="594" t="s">
        <v>2461</v>
      </c>
      <c r="C154" s="595">
        <f>1302.08+20</f>
        <v>1322.08</v>
      </c>
      <c r="E154" s="595">
        <v>0</v>
      </c>
      <c r="F154" s="389"/>
    </row>
    <row r="155" spans="1:6">
      <c r="A155" s="1155"/>
      <c r="B155" s="957" t="s">
        <v>2460</v>
      </c>
      <c r="C155" s="596">
        <f>1128.28</f>
        <v>1128.28</v>
      </c>
      <c r="E155" s="596">
        <v>10</v>
      </c>
      <c r="F155" s="389"/>
    </row>
    <row r="156" spans="1:6">
      <c r="A156" s="1155"/>
      <c r="B156" s="594" t="s">
        <v>527</v>
      </c>
      <c r="C156" s="596">
        <f>1163.96+10</f>
        <v>1173.96</v>
      </c>
      <c r="E156" s="596">
        <v>10</v>
      </c>
      <c r="F156" s="389"/>
    </row>
    <row r="157" spans="1:6">
      <c r="A157" s="1155"/>
      <c r="B157" s="594" t="s">
        <v>528</v>
      </c>
      <c r="C157" s="596">
        <f>1283.97+20</f>
        <v>1303.97</v>
      </c>
      <c r="E157" s="596">
        <v>10</v>
      </c>
      <c r="F157" s="389"/>
    </row>
    <row r="158" spans="1:6">
      <c r="A158" s="1155"/>
      <c r="B158" s="594" t="s">
        <v>529</v>
      </c>
      <c r="C158" s="596">
        <f>1052.1</f>
        <v>1052.0999999999999</v>
      </c>
      <c r="E158" s="596">
        <v>10</v>
      </c>
      <c r="F158" s="389"/>
    </row>
    <row r="159" spans="1:6">
      <c r="A159" s="1155"/>
      <c r="B159" s="594" t="s">
        <v>662</v>
      </c>
      <c r="C159" s="597">
        <f>101454.78+1614.26</f>
        <v>103069.04</v>
      </c>
      <c r="E159" s="597">
        <f>10+1514.26+2946.21</f>
        <v>4470.47</v>
      </c>
      <c r="F159" s="389"/>
    </row>
    <row r="160" spans="1:6">
      <c r="A160" s="1155"/>
      <c r="B160" s="160" t="s">
        <v>1363</v>
      </c>
      <c r="C160" s="166">
        <f>SUM(C154:C159)</f>
        <v>109049.43</v>
      </c>
      <c r="E160" s="166">
        <f>SUM(E154:E159)</f>
        <v>4510.47</v>
      </c>
      <c r="F160" s="389"/>
    </row>
    <row r="161" spans="1:7">
      <c r="A161" s="1155"/>
      <c r="B161" s="1025"/>
      <c r="F161" s="389"/>
    </row>
    <row r="162" spans="1:7">
      <c r="A162" s="1155"/>
      <c r="B162" s="1025"/>
      <c r="F162" s="389"/>
    </row>
    <row r="163" spans="1:7">
      <c r="A163" s="1155"/>
      <c r="B163" s="1160" t="s">
        <v>364</v>
      </c>
      <c r="F163" s="389"/>
    </row>
    <row r="164" spans="1:7">
      <c r="A164" s="1155"/>
      <c r="B164" s="594" t="s">
        <v>2461</v>
      </c>
      <c r="C164" s="595">
        <f>1341139.17-213118.4-32125.32</f>
        <v>1095895.45</v>
      </c>
      <c r="E164" s="595">
        <v>0</v>
      </c>
      <c r="F164" s="389"/>
    </row>
    <row r="165" spans="1:7">
      <c r="A165" s="1155"/>
      <c r="B165" s="957" t="s">
        <v>2460</v>
      </c>
      <c r="C165" s="596">
        <f>65834.3-24291.28</f>
        <v>41543.020000000004</v>
      </c>
      <c r="E165" s="596">
        <f>271360.6+29915.62+132.98</f>
        <v>301409.19999999995</v>
      </c>
      <c r="F165" s="389"/>
    </row>
    <row r="166" spans="1:7">
      <c r="A166" s="1155"/>
      <c r="B166" s="594" t="s">
        <v>527</v>
      </c>
      <c r="C166" s="596">
        <f>-4411.79-1291.73</f>
        <v>-5703.52</v>
      </c>
      <c r="E166" s="596">
        <f>4318.34+6452.19+1276.8</f>
        <v>12047.329999999998</v>
      </c>
      <c r="F166" s="389"/>
    </row>
    <row r="167" spans="1:7">
      <c r="A167" s="1155"/>
      <c r="B167" s="594" t="s">
        <v>528</v>
      </c>
      <c r="C167" s="596">
        <f>1265.63-32079.09</f>
        <v>-30813.46</v>
      </c>
      <c r="E167" s="596">
        <f>3062.44+241712.8+1276.22</f>
        <v>246051.46</v>
      </c>
      <c r="F167" s="389"/>
    </row>
    <row r="168" spans="1:7">
      <c r="A168" s="1155"/>
      <c r="B168" s="594" t="s">
        <v>529</v>
      </c>
      <c r="C168" s="596">
        <f>-1689.93-13439.34</f>
        <v>-15129.27</v>
      </c>
      <c r="E168" s="596">
        <f>2429.07+767.64+1246.43</f>
        <v>4443.1400000000003</v>
      </c>
      <c r="F168" s="389"/>
    </row>
    <row r="169" spans="1:7">
      <c r="A169" s="1155"/>
      <c r="B169" s="594" t="s">
        <v>339</v>
      </c>
      <c r="C169" s="597">
        <f>161728.12+640387.94+383.02+342-10.43</f>
        <v>802830.64999999991</v>
      </c>
      <c r="E169" s="597">
        <f>834.59+780.57+1215670.03+276096.87+1250.25+197865+2946.21</f>
        <v>1695443.52</v>
      </c>
      <c r="F169" s="389"/>
    </row>
    <row r="170" spans="1:7">
      <c r="A170" s="1155"/>
      <c r="B170" s="160" t="s">
        <v>1363</v>
      </c>
      <c r="C170" s="166">
        <f>SUM(C164:C169)</f>
        <v>1888622.8699999999</v>
      </c>
      <c r="E170" s="166">
        <f>SUM(E164:E169)</f>
        <v>2259394.65</v>
      </c>
      <c r="F170" s="389"/>
    </row>
    <row r="171" spans="1:7" ht="13.5" thickBot="1">
      <c r="A171" s="1155"/>
      <c r="B171" s="160" t="s">
        <v>340</v>
      </c>
      <c r="C171" s="170">
        <f>C170+C119+C110+C101+C128+C138+C148+C160</f>
        <v>16318081.74</v>
      </c>
      <c r="E171" s="170">
        <f>E170+E119+E110+E101+E128+E138+E148+E160</f>
        <v>14607863.300000001</v>
      </c>
      <c r="F171" s="389"/>
    </row>
    <row r="172" spans="1:7" ht="13.5" thickTop="1">
      <c r="A172" s="1155"/>
      <c r="B172" s="160"/>
      <c r="F172" s="389"/>
    </row>
    <row r="173" spans="1:7">
      <c r="A173" s="1155"/>
      <c r="B173" s="1160" t="s">
        <v>2049</v>
      </c>
      <c r="F173" s="389"/>
    </row>
    <row r="174" spans="1:7">
      <c r="A174" s="1155"/>
      <c r="B174" s="594" t="s">
        <v>2461</v>
      </c>
      <c r="C174" s="595">
        <f t="shared" ref="C174:E179" si="1">C95+C104+C113+C122+C132+C142+C154+C164</f>
        <v>2308739.5699999998</v>
      </c>
      <c r="E174" s="595">
        <f t="shared" si="1"/>
        <v>0</v>
      </c>
      <c r="F174" s="389"/>
    </row>
    <row r="175" spans="1:7">
      <c r="A175" s="1155"/>
      <c r="B175" s="957" t="s">
        <v>2460</v>
      </c>
      <c r="C175" s="596">
        <f t="shared" si="1"/>
        <v>747697.15</v>
      </c>
      <c r="E175" s="596">
        <f t="shared" si="1"/>
        <v>526170.06999999995</v>
      </c>
      <c r="F175" s="389"/>
    </row>
    <row r="176" spans="1:7">
      <c r="A176" s="1155"/>
      <c r="B176" s="594" t="s">
        <v>527</v>
      </c>
      <c r="C176" s="596">
        <f t="shared" si="1"/>
        <v>556583.71</v>
      </c>
      <c r="E176" s="596">
        <f t="shared" si="1"/>
        <v>1023331.48</v>
      </c>
      <c r="F176" s="389"/>
      <c r="G176" s="312" t="s">
        <v>36</v>
      </c>
    </row>
    <row r="177" spans="1:7">
      <c r="A177" s="1155"/>
      <c r="B177" s="594" t="s">
        <v>528</v>
      </c>
      <c r="C177" s="596">
        <f t="shared" si="1"/>
        <v>547208.32999999996</v>
      </c>
      <c r="E177" s="596">
        <f t="shared" si="1"/>
        <v>958203.80999999994</v>
      </c>
      <c r="F177" s="389"/>
    </row>
    <row r="178" spans="1:7">
      <c r="A178" s="1155"/>
      <c r="B178" s="594" t="s">
        <v>529</v>
      </c>
      <c r="C178" s="596">
        <f t="shared" si="1"/>
        <v>406358.44999999995</v>
      </c>
      <c r="E178" s="596">
        <f t="shared" si="1"/>
        <v>532668.89999999991</v>
      </c>
      <c r="F178" s="389"/>
    </row>
    <row r="179" spans="1:7">
      <c r="A179" s="1155"/>
      <c r="B179" s="594" t="s">
        <v>339</v>
      </c>
      <c r="C179" s="597">
        <f>C100+C109+C118+C127+C137+C147+C159+C169-1162537</f>
        <v>10588957.529999999</v>
      </c>
      <c r="E179" s="597">
        <f t="shared" si="1"/>
        <v>11567489.039999999</v>
      </c>
      <c r="F179" s="389"/>
    </row>
    <row r="180" spans="1:7">
      <c r="A180" s="1155"/>
      <c r="B180" s="160" t="s">
        <v>341</v>
      </c>
      <c r="C180" s="166">
        <f>SUM(C174:C179)</f>
        <v>15155544.739999998</v>
      </c>
      <c r="E180" s="166">
        <f>SUM(E174:E179)</f>
        <v>14607863.299999999</v>
      </c>
      <c r="F180" s="389"/>
    </row>
    <row r="181" spans="1:7">
      <c r="A181" s="1155"/>
      <c r="B181" s="160"/>
      <c r="C181" s="166"/>
      <c r="E181" s="166"/>
      <c r="F181" s="389"/>
    </row>
    <row r="182" spans="1:7">
      <c r="A182" s="1155"/>
      <c r="B182" s="1160" t="s">
        <v>656</v>
      </c>
      <c r="C182" s="212">
        <v>1162537</v>
      </c>
      <c r="E182" s="212">
        <v>-1246321.2</v>
      </c>
      <c r="F182" s="389"/>
    </row>
    <row r="183" spans="1:7">
      <c r="A183" s="1155"/>
      <c r="B183" s="1160" t="s">
        <v>657</v>
      </c>
      <c r="C183" s="212">
        <v>0</v>
      </c>
      <c r="E183" s="212">
        <v>0</v>
      </c>
      <c r="F183" s="389"/>
    </row>
    <row r="184" spans="1:7" ht="13.5" thickBot="1">
      <c r="A184" s="273"/>
      <c r="B184" s="369"/>
      <c r="C184" s="174">
        <f>SUM(C180:C183)</f>
        <v>16318081.739999998</v>
      </c>
      <c r="D184" s="607"/>
      <c r="E184" s="174">
        <f>SUM(E180:E183)</f>
        <v>13361542.1</v>
      </c>
      <c r="F184" s="608"/>
    </row>
    <row r="185" spans="1:7" ht="13.5" thickTop="1">
      <c r="A185" s="609"/>
      <c r="B185" s="369"/>
      <c r="E185" s="369"/>
      <c r="F185" s="389"/>
    </row>
    <row r="186" spans="1:7">
      <c r="A186" s="609"/>
      <c r="B186" s="610"/>
      <c r="E186" s="369"/>
      <c r="F186" s="389"/>
    </row>
    <row r="187" spans="1:7">
      <c r="A187" s="484"/>
      <c r="B187" s="212"/>
      <c r="E187" s="369"/>
      <c r="F187" s="389"/>
    </row>
    <row r="188" spans="1:7">
      <c r="A188" s="900">
        <v>15.1</v>
      </c>
      <c r="B188" s="296" t="s">
        <v>1445</v>
      </c>
      <c r="C188" s="165" t="s">
        <v>2077</v>
      </c>
      <c r="D188" s="172"/>
      <c r="E188" s="165" t="s">
        <v>1796</v>
      </c>
      <c r="F188" s="411"/>
    </row>
    <row r="189" spans="1:7">
      <c r="A189" s="901"/>
      <c r="B189" s="1025"/>
      <c r="C189" s="172" t="s">
        <v>1314</v>
      </c>
      <c r="D189" s="172"/>
      <c r="E189" s="172" t="s">
        <v>1314</v>
      </c>
      <c r="F189" s="389"/>
    </row>
    <row r="190" spans="1:7">
      <c r="A190" s="1155"/>
      <c r="B190" s="1025"/>
      <c r="C190" s="172"/>
      <c r="D190" s="172"/>
      <c r="E190" s="172"/>
      <c r="F190" s="389"/>
    </row>
    <row r="191" spans="1:7">
      <c r="A191" s="1155"/>
      <c r="B191" s="611" t="s">
        <v>665</v>
      </c>
      <c r="C191" s="612">
        <f>431721.88+1334.51+136047.8</f>
        <v>569104.18999999994</v>
      </c>
      <c r="D191" s="611"/>
      <c r="E191" s="612">
        <f>520514.51+2946.21</f>
        <v>523460.72000000003</v>
      </c>
      <c r="F191" s="613"/>
      <c r="G191" s="614"/>
    </row>
    <row r="192" spans="1:7">
      <c r="A192" s="1155"/>
      <c r="B192" s="611" t="s">
        <v>987</v>
      </c>
      <c r="C192" s="615">
        <v>4426075.22</v>
      </c>
      <c r="D192" s="611"/>
      <c r="E192" s="615">
        <v>2991380.34</v>
      </c>
      <c r="F192" s="613"/>
      <c r="G192" s="614"/>
    </row>
    <row r="193" spans="1:7">
      <c r="A193" s="1155"/>
      <c r="B193" s="611" t="s">
        <v>1132</v>
      </c>
      <c r="C193" s="615">
        <v>2577657.4900000002</v>
      </c>
      <c r="D193" s="611"/>
      <c r="E193" s="615">
        <v>2008345.18</v>
      </c>
      <c r="F193" s="613"/>
      <c r="G193" s="614"/>
    </row>
    <row r="194" spans="1:7">
      <c r="A194" s="1155"/>
      <c r="B194" s="611" t="s">
        <v>1135</v>
      </c>
      <c r="C194" s="615">
        <v>188875.9</v>
      </c>
      <c r="D194" s="611"/>
      <c r="E194" s="615">
        <v>180449.56</v>
      </c>
      <c r="F194" s="613"/>
      <c r="G194" s="614"/>
    </row>
    <row r="195" spans="1:7">
      <c r="A195" s="1155"/>
      <c r="B195" s="611" t="s">
        <v>988</v>
      </c>
      <c r="C195" s="615">
        <v>617767.92000000004</v>
      </c>
      <c r="D195" s="611"/>
      <c r="E195" s="615">
        <v>438476.79999999999</v>
      </c>
      <c r="F195" s="613"/>
      <c r="G195" s="614"/>
    </row>
    <row r="196" spans="1:7">
      <c r="A196" s="1155"/>
      <c r="B196" s="611" t="s">
        <v>1182</v>
      </c>
      <c r="C196" s="615">
        <v>45097.56</v>
      </c>
      <c r="D196" s="611"/>
      <c r="E196" s="615">
        <v>0</v>
      </c>
      <c r="F196" s="613"/>
      <c r="G196" s="614"/>
    </row>
    <row r="197" spans="1:7">
      <c r="A197" s="1155"/>
      <c r="B197" s="611" t="s">
        <v>1237</v>
      </c>
      <c r="C197" s="615">
        <f>1196056.9+18339000.22</f>
        <v>19535057.119999997</v>
      </c>
      <c r="D197" s="611"/>
      <c r="E197" s="615">
        <f>16366378.51+899083.37</f>
        <v>17265461.879999999</v>
      </c>
      <c r="F197" s="613"/>
      <c r="G197" s="614"/>
    </row>
    <row r="198" spans="1:7">
      <c r="A198" s="1155"/>
      <c r="B198" s="611" t="s">
        <v>1446</v>
      </c>
      <c r="C198" s="615">
        <v>114481.83</v>
      </c>
      <c r="D198" s="611"/>
      <c r="E198" s="615">
        <v>123338.6</v>
      </c>
      <c r="F198" s="613"/>
      <c r="G198" s="614"/>
    </row>
    <row r="199" spans="1:7">
      <c r="A199" s="1155"/>
      <c r="B199" s="611" t="s">
        <v>1136</v>
      </c>
      <c r="C199" s="615">
        <v>323115.25</v>
      </c>
      <c r="D199" s="611"/>
      <c r="E199" s="615">
        <v>301520.84999999998</v>
      </c>
      <c r="F199" s="613"/>
      <c r="G199" s="614"/>
    </row>
    <row r="200" spans="1:7">
      <c r="A200" s="1155"/>
      <c r="B200" s="611" t="s">
        <v>136</v>
      </c>
      <c r="C200" s="615">
        <v>43030.080000000002</v>
      </c>
      <c r="D200" s="611"/>
      <c r="E200" s="615">
        <v>33611.06</v>
      </c>
      <c r="F200" s="613"/>
      <c r="G200" s="614"/>
    </row>
    <row r="201" spans="1:7">
      <c r="A201" s="1155"/>
      <c r="B201" s="611" t="s">
        <v>1447</v>
      </c>
      <c r="C201" s="616">
        <v>600006.80000000005</v>
      </c>
      <c r="D201" s="611"/>
      <c r="E201" s="616">
        <f>387899.04-38772.5</f>
        <v>349126.54</v>
      </c>
      <c r="F201" s="613"/>
      <c r="G201" s="614"/>
    </row>
    <row r="202" spans="1:7" ht="13.5" thickBot="1">
      <c r="A202" s="1155"/>
      <c r="B202" s="175" t="s">
        <v>1108</v>
      </c>
      <c r="C202" s="176">
        <f>SUM(C191:C201)</f>
        <v>29040269.359999996</v>
      </c>
      <c r="D202" s="611"/>
      <c r="E202" s="176">
        <f>SUM(E191:E201)</f>
        <v>24215171.529999997</v>
      </c>
      <c r="F202" s="613"/>
      <c r="G202" s="614"/>
    </row>
    <row r="203" spans="1:7" ht="13.5" thickTop="1">
      <c r="A203" s="1155"/>
      <c r="B203" s="1025"/>
      <c r="F203" s="389"/>
    </row>
    <row r="204" spans="1:7">
      <c r="A204" s="1155"/>
      <c r="B204" s="1160" t="s">
        <v>1852</v>
      </c>
      <c r="E204" s="212">
        <v>0</v>
      </c>
      <c r="F204" s="389"/>
    </row>
    <row r="205" spans="1:7">
      <c r="A205" s="1155"/>
      <c r="B205" s="1160" t="s">
        <v>1849</v>
      </c>
      <c r="C205" s="212">
        <v>487196.9</v>
      </c>
      <c r="E205" s="212">
        <v>87275.07</v>
      </c>
      <c r="F205" s="389"/>
    </row>
    <row r="206" spans="1:7">
      <c r="A206" s="1155"/>
      <c r="B206" s="1160" t="s">
        <v>1524</v>
      </c>
      <c r="C206" s="212">
        <v>-13209384.52</v>
      </c>
      <c r="E206" s="212">
        <v>-10940904.5</v>
      </c>
      <c r="F206" s="389"/>
    </row>
    <row r="207" spans="1:7" ht="13.5" thickBot="1">
      <c r="A207" s="273"/>
      <c r="B207" s="369"/>
      <c r="C207" s="174">
        <f>SUM(C202:C206)</f>
        <v>16318081.739999995</v>
      </c>
      <c r="D207" s="607"/>
      <c r="E207" s="174">
        <f>SUM(E202:E206)</f>
        <v>13361542.099999998</v>
      </c>
      <c r="F207" s="608"/>
    </row>
    <row r="208" spans="1:7" ht="14.25" thickTop="1" thickBot="1">
      <c r="A208" s="405"/>
      <c r="B208" s="419"/>
      <c r="C208" s="396" t="s">
        <v>36</v>
      </c>
      <c r="D208" s="396"/>
      <c r="E208" s="396"/>
      <c r="F208" s="398"/>
    </row>
    <row r="209" spans="1:6">
      <c r="A209" s="1155"/>
      <c r="B209" s="1025"/>
      <c r="C209" s="212" t="s">
        <v>36</v>
      </c>
      <c r="F209" s="389"/>
    </row>
    <row r="210" spans="1:6">
      <c r="A210" s="1155">
        <v>15.2</v>
      </c>
      <c r="B210" s="1169" t="s">
        <v>2230</v>
      </c>
      <c r="C210" s="165" t="s">
        <v>2077</v>
      </c>
      <c r="D210" s="172"/>
      <c r="E210" s="165" t="s">
        <v>1796</v>
      </c>
      <c r="F210" s="389"/>
    </row>
    <row r="211" spans="1:6">
      <c r="A211" s="1155"/>
      <c r="B211" s="128"/>
      <c r="C211" s="172" t="s">
        <v>1314</v>
      </c>
      <c r="D211" s="172"/>
      <c r="E211" s="172" t="s">
        <v>1314</v>
      </c>
      <c r="F211" s="389"/>
    </row>
    <row r="212" spans="1:6">
      <c r="A212" s="1155"/>
      <c r="B212" s="128"/>
      <c r="C212" s="172"/>
      <c r="D212" s="172"/>
      <c r="E212" s="172"/>
      <c r="F212" s="389"/>
    </row>
    <row r="213" spans="1:6">
      <c r="A213" s="1155"/>
      <c r="B213" s="369" t="s">
        <v>351</v>
      </c>
      <c r="C213" s="595">
        <f>D38</f>
        <v>5057108.7349999994</v>
      </c>
      <c r="E213" s="595">
        <v>5170558.1100000003</v>
      </c>
      <c r="F213" s="389"/>
    </row>
    <row r="214" spans="1:6">
      <c r="A214" s="1155"/>
      <c r="B214" s="369" t="s">
        <v>2231</v>
      </c>
      <c r="C214" s="596">
        <v>1273775.51</v>
      </c>
      <c r="E214" s="596">
        <v>67585.490000000005</v>
      </c>
      <c r="F214" s="389"/>
    </row>
    <row r="215" spans="1:6">
      <c r="A215" s="1155"/>
      <c r="B215" s="369" t="s">
        <v>2232</v>
      </c>
      <c r="C215" s="596">
        <v>-246266.22</v>
      </c>
      <c r="E215" s="596">
        <v>-176502.47</v>
      </c>
      <c r="F215" s="389"/>
    </row>
    <row r="216" spans="1:6">
      <c r="A216" s="1155"/>
      <c r="B216" s="369" t="s">
        <v>2495</v>
      </c>
      <c r="C216" s="597">
        <v>-5691.54</v>
      </c>
      <c r="E216" s="597">
        <v>-4532.3900000000003</v>
      </c>
      <c r="F216" s="389"/>
    </row>
    <row r="217" spans="1:6">
      <c r="A217" s="1155"/>
      <c r="B217" s="369"/>
      <c r="F217" s="389"/>
    </row>
    <row r="218" spans="1:6" ht="13.5" thickBot="1">
      <c r="A218" s="1155"/>
      <c r="B218" s="128" t="s">
        <v>1611</v>
      </c>
      <c r="C218" s="617">
        <f>SUM(C213:C216)</f>
        <v>6078926.4849999994</v>
      </c>
      <c r="E218" s="617">
        <f>SUM(E213:E216)</f>
        <v>5057108.7400000012</v>
      </c>
      <c r="F218" s="389"/>
    </row>
    <row r="219" spans="1:6" ht="13.5" thickTop="1">
      <c r="A219" s="1155"/>
      <c r="B219" s="369"/>
      <c r="F219" s="389"/>
    </row>
    <row r="220" spans="1:6">
      <c r="A220" s="1195"/>
      <c r="B220" s="1169"/>
      <c r="F220" s="389"/>
    </row>
    <row r="221" spans="1:6">
      <c r="A221" s="1195"/>
      <c r="B221" s="369"/>
      <c r="F221" s="389"/>
    </row>
    <row r="222" spans="1:6">
      <c r="A222" s="1195"/>
      <c r="B222" s="221"/>
      <c r="F222" s="389"/>
    </row>
    <row r="223" spans="1:6">
      <c r="A223" s="1195"/>
      <c r="B223" s="1025"/>
      <c r="F223" s="389"/>
    </row>
    <row r="224" spans="1:6">
      <c r="A224" s="1195"/>
      <c r="B224" s="221"/>
      <c r="F224" s="389"/>
    </row>
    <row r="225" spans="1:6">
      <c r="A225" s="1195"/>
      <c r="B225" s="221"/>
      <c r="F225" s="389"/>
    </row>
    <row r="226" spans="1:6">
      <c r="A226" s="1195"/>
      <c r="B226" s="221"/>
      <c r="F226" s="389"/>
    </row>
    <row r="227" spans="1:6">
      <c r="A227" s="1195"/>
      <c r="B227" s="369"/>
      <c r="F227" s="389"/>
    </row>
    <row r="228" spans="1:6" ht="13.5" thickBot="1">
      <c r="A228" s="405"/>
      <c r="B228" s="419"/>
      <c r="C228" s="396"/>
      <c r="D228" s="396"/>
      <c r="E228" s="396"/>
      <c r="F228" s="398"/>
    </row>
  </sheetData>
  <mergeCells count="2">
    <mergeCell ref="A2:F2"/>
    <mergeCell ref="A3:F3"/>
  </mergeCells>
  <phoneticPr fontId="0" type="noConversion"/>
  <printOptions horizontalCentered="1"/>
  <pageMargins left="0.6692913385826772" right="0.39370078740157483" top="0.98425196850393704" bottom="0.98425196850393704" header="0.51181102362204722" footer="0.51181102362204722"/>
  <pageSetup scale="79" fitToHeight="3" orientation="portrait" r:id="rId1"/>
  <headerFooter>
    <oddHeader>&amp;C FINANCIAL STATEMENTS: MUSINA LOCAL MUNICIPALITY</oddHeader>
    <oddFooter>&amp;RPage &amp;P</oddFooter>
  </headerFooter>
  <rowBreaks count="3" manualBreakCount="3">
    <brk id="90" max="5" man="1"/>
    <brk id="149" max="5" man="1"/>
    <brk id="208" max="5" man="1"/>
  </rowBreaks>
</worksheet>
</file>

<file path=xl/worksheets/sheet16.xml><?xml version="1.0" encoding="utf-8"?>
<worksheet xmlns="http://schemas.openxmlformats.org/spreadsheetml/2006/main" xmlns:r="http://schemas.openxmlformats.org/officeDocument/2006/relationships">
  <sheetPr>
    <pageSetUpPr fitToPage="1"/>
  </sheetPr>
  <dimension ref="A1:G57"/>
  <sheetViews>
    <sheetView view="pageBreakPreview" topLeftCell="A3" zoomScale="90" zoomScaleSheetLayoutView="90" workbookViewId="0">
      <selection activeCell="C43" activeCellId="1" sqref="E18 C43"/>
    </sheetView>
  </sheetViews>
  <sheetFormatPr defaultRowHeight="12.75"/>
  <cols>
    <col min="1" max="1" width="9.140625" style="363"/>
    <col min="2" max="2" width="38.85546875" style="363" bestFit="1" customWidth="1"/>
    <col min="3" max="3" width="2.140625" style="363" customWidth="1"/>
    <col min="4" max="4" width="18.85546875" style="363" customWidth="1"/>
    <col min="5" max="5" width="3.28515625" style="363" customWidth="1"/>
    <col min="6" max="6" width="19.140625" style="363" customWidth="1"/>
    <col min="7" max="7" width="3" style="363" customWidth="1"/>
    <col min="8" max="16384" width="9.140625" style="363"/>
  </cols>
  <sheetData>
    <row r="1" spans="1:7">
      <c r="A1" s="1723" t="s">
        <v>1349</v>
      </c>
      <c r="B1" s="1724"/>
      <c r="C1" s="1724"/>
      <c r="D1" s="1724"/>
      <c r="E1" s="1724"/>
      <c r="F1" s="1724"/>
      <c r="G1" s="1725"/>
    </row>
    <row r="2" spans="1:7">
      <c r="A2" s="1720" t="s">
        <v>2075</v>
      </c>
      <c r="B2" s="1721"/>
      <c r="C2" s="1721"/>
      <c r="D2" s="1721"/>
      <c r="E2" s="1721"/>
      <c r="F2" s="1721"/>
      <c r="G2" s="1722"/>
    </row>
    <row r="3" spans="1:7">
      <c r="A3" s="1155"/>
      <c r="B3" s="1025"/>
      <c r="C3" s="1025"/>
      <c r="D3" s="1025"/>
      <c r="E3" s="1025"/>
      <c r="F3" s="212"/>
      <c r="G3" s="958"/>
    </row>
    <row r="4" spans="1:7">
      <c r="A4" s="1155"/>
      <c r="B4" s="1025"/>
      <c r="C4" s="1025"/>
      <c r="D4" s="1025"/>
      <c r="E4" s="1025"/>
      <c r="F4" s="212"/>
      <c r="G4" s="958"/>
    </row>
    <row r="5" spans="1:7">
      <c r="A5" s="1155" t="s">
        <v>2345</v>
      </c>
      <c r="B5" s="128" t="s">
        <v>1953</v>
      </c>
      <c r="C5" s="128"/>
      <c r="D5" s="128"/>
      <c r="E5" s="128"/>
      <c r="F5" s="212"/>
      <c r="G5" s="958"/>
    </row>
    <row r="6" spans="1:7">
      <c r="A6" s="1155"/>
      <c r="B6" s="128" t="s">
        <v>1954</v>
      </c>
      <c r="C6" s="128"/>
      <c r="D6" s="159" t="s">
        <v>2077</v>
      </c>
      <c r="E6" s="128"/>
      <c r="F6" s="159" t="s">
        <v>1796</v>
      </c>
      <c r="G6" s="392"/>
    </row>
    <row r="7" spans="1:7">
      <c r="A7" s="1155"/>
      <c r="B7" s="128"/>
      <c r="C7" s="128"/>
      <c r="D7" s="128"/>
      <c r="E7" s="128"/>
      <c r="F7" s="212"/>
      <c r="G7" s="958"/>
    </row>
    <row r="8" spans="1:7">
      <c r="A8" s="1155"/>
      <c r="B8" s="128" t="s">
        <v>1962</v>
      </c>
      <c r="C8" s="128"/>
      <c r="D8" s="166">
        <f>SUM(D10:D15)</f>
        <v>113244748.37</v>
      </c>
      <c r="E8" s="128"/>
      <c r="F8" s="166">
        <f>SUM(F10:F15)</f>
        <v>89634729.769999996</v>
      </c>
      <c r="G8" s="958"/>
    </row>
    <row r="9" spans="1:7">
      <c r="A9" s="1155"/>
      <c r="B9" s="142"/>
      <c r="C9" s="142"/>
      <c r="D9" s="142"/>
      <c r="E9" s="142"/>
      <c r="F9" s="212"/>
      <c r="G9" s="958"/>
    </row>
    <row r="10" spans="1:7">
      <c r="A10" s="1155"/>
      <c r="B10" s="1025" t="s">
        <v>1956</v>
      </c>
      <c r="C10" s="1025"/>
      <c r="D10" s="595">
        <f>'Statement of Financial Performa'!F10</f>
        <v>10452708.429999998</v>
      </c>
      <c r="E10" s="1025"/>
      <c r="F10" s="595">
        <f>'Statement of Financial Performa'!H10</f>
        <v>9457596</v>
      </c>
      <c r="G10" s="958"/>
    </row>
    <row r="11" spans="1:7">
      <c r="A11" s="1155"/>
      <c r="B11" s="1025" t="s">
        <v>711</v>
      </c>
      <c r="C11" s="1025"/>
      <c r="D11" s="596">
        <f>'Statement of Financial Performa'!F12</f>
        <v>53696905.700000003</v>
      </c>
      <c r="E11" s="1025"/>
      <c r="F11" s="596">
        <f>'Statement of Financial Performa'!H12</f>
        <v>40994741.689999998</v>
      </c>
      <c r="G11" s="958"/>
    </row>
    <row r="12" spans="1:7">
      <c r="A12" s="1155"/>
      <c r="B12" s="1025" t="s">
        <v>1373</v>
      </c>
      <c r="C12" s="1025"/>
      <c r="D12" s="596">
        <f>'Statement of Financial Performa'!F14</f>
        <v>6029938.0300000003</v>
      </c>
      <c r="E12" s="1025"/>
      <c r="F12" s="596">
        <f>'Statement of Financial Performa'!H14</f>
        <v>5016917.6399999997</v>
      </c>
      <c r="G12" s="958"/>
    </row>
    <row r="13" spans="1:7">
      <c r="A13" s="1155"/>
      <c r="B13" s="1025" t="s">
        <v>1957</v>
      </c>
      <c r="C13" s="1025"/>
      <c r="D13" s="596">
        <f>'Statement of Financial Performa'!F17</f>
        <v>2361495.7999999998</v>
      </c>
      <c r="E13" s="1025"/>
      <c r="F13" s="596">
        <f>'Statement of Financial Performa'!H17</f>
        <v>2343576.65</v>
      </c>
      <c r="G13" s="958"/>
    </row>
    <row r="14" spans="1:7">
      <c r="A14" s="1155"/>
      <c r="B14" s="1025" t="s">
        <v>718</v>
      </c>
      <c r="C14" s="1025"/>
      <c r="D14" s="596">
        <f>'Statement of Financial Performa'!F16</f>
        <v>1434842.65</v>
      </c>
      <c r="E14" s="1025"/>
      <c r="F14" s="596">
        <f>'Statement of Financial Performa'!H16</f>
        <v>444496</v>
      </c>
      <c r="G14" s="958"/>
    </row>
    <row r="15" spans="1:7">
      <c r="A15" s="1155"/>
      <c r="B15" s="1025" t="s">
        <v>1958</v>
      </c>
      <c r="C15" s="1025"/>
      <c r="D15" s="597">
        <f>'Statement of Financial Performa'!F18+'Statement of Financial Performa'!F19+'Statement of Financial Performa'!F20</f>
        <v>39268857.760000005</v>
      </c>
      <c r="E15" s="1025"/>
      <c r="F15" s="597">
        <f>'Statement of Financial Performa'!H18+'Statement of Financial Performa'!H19+'Statement of Financial Performa'!H20</f>
        <v>31377401.789999999</v>
      </c>
      <c r="G15" s="958"/>
    </row>
    <row r="16" spans="1:7">
      <c r="A16" s="1155"/>
      <c r="B16" s="1025"/>
      <c r="C16" s="1025"/>
      <c r="D16" s="1025"/>
      <c r="E16" s="1025"/>
      <c r="F16" s="212"/>
      <c r="G16" s="958"/>
    </row>
    <row r="17" spans="1:7">
      <c r="A17" s="1155" t="s">
        <v>2346</v>
      </c>
      <c r="B17" s="128" t="s">
        <v>1953</v>
      </c>
      <c r="C17" s="128"/>
      <c r="D17" s="128"/>
      <c r="E17" s="128"/>
      <c r="F17" s="212"/>
      <c r="G17" s="958"/>
    </row>
    <row r="18" spans="1:7">
      <c r="A18" s="1156"/>
      <c r="B18" s="128" t="s">
        <v>1955</v>
      </c>
      <c r="C18" s="128"/>
      <c r="D18" s="159" t="s">
        <v>2077</v>
      </c>
      <c r="E18" s="142"/>
      <c r="F18" s="159" t="s">
        <v>1796</v>
      </c>
      <c r="G18" s="958"/>
    </row>
    <row r="19" spans="1:7">
      <c r="A19" s="1148"/>
      <c r="B19" s="142"/>
      <c r="C19" s="142"/>
      <c r="D19" s="142"/>
      <c r="E19" s="142"/>
      <c r="F19" s="167"/>
      <c r="G19" s="1170"/>
    </row>
    <row r="20" spans="1:7">
      <c r="A20" s="1155"/>
      <c r="B20" s="128" t="s">
        <v>1962</v>
      </c>
      <c r="C20" s="169"/>
      <c r="D20" s="166">
        <f>SUM(D22:D36)</f>
        <v>17923139.780000005</v>
      </c>
      <c r="E20" s="169"/>
      <c r="F20" s="166">
        <f>SUM(F22:F36)</f>
        <v>3676143.5100000012</v>
      </c>
      <c r="G20" s="958"/>
    </row>
    <row r="21" spans="1:7">
      <c r="A21" s="1155"/>
      <c r="B21" s="169"/>
      <c r="C21" s="169"/>
      <c r="D21" s="169"/>
      <c r="E21" s="169"/>
      <c r="F21" s="166"/>
      <c r="G21" s="958"/>
    </row>
    <row r="22" spans="1:7">
      <c r="A22" s="1155"/>
      <c r="B22" s="1160" t="s">
        <v>1720</v>
      </c>
      <c r="C22" s="1160"/>
      <c r="D22" s="595">
        <f>'Statement of Financial Performa'!F13</f>
        <v>943941.6399999999</v>
      </c>
      <c r="E22" s="1160"/>
      <c r="F22" s="595">
        <f>'Statement of Financial Performa'!H13</f>
        <v>754842.32000000007</v>
      </c>
      <c r="G22" s="958"/>
    </row>
    <row r="23" spans="1:7">
      <c r="A23" s="1155"/>
      <c r="B23" s="1158" t="s">
        <v>1733</v>
      </c>
      <c r="C23" s="1158"/>
      <c r="D23" s="596">
        <f>'Statement of Financial Performa'!F22</f>
        <v>158500</v>
      </c>
      <c r="E23" s="1158"/>
      <c r="F23" s="596">
        <f>'Statement of Financial Performa'!H22</f>
        <v>783000</v>
      </c>
      <c r="G23" s="958"/>
    </row>
    <row r="24" spans="1:7">
      <c r="A24" s="1155"/>
      <c r="B24" s="1158" t="s">
        <v>1959</v>
      </c>
      <c r="C24" s="1158"/>
      <c r="D24" s="596">
        <f>'Statement of Financial Performa'!F15</f>
        <v>995265.42</v>
      </c>
      <c r="E24" s="1158"/>
      <c r="F24" s="596">
        <f>'Statement of Financial Performa'!H15</f>
        <v>226442.71</v>
      </c>
      <c r="G24" s="958"/>
    </row>
    <row r="25" spans="1:7">
      <c r="A25" s="1155"/>
      <c r="B25" s="1160" t="s">
        <v>1960</v>
      </c>
      <c r="C25" s="1160"/>
      <c r="D25" s="596">
        <f>'Statement of Financial Performa'!F26</f>
        <v>169601.97999999998</v>
      </c>
      <c r="E25" s="1160"/>
      <c r="F25" s="596">
        <f>'Statement of Financial Performa'!H26</f>
        <v>67228</v>
      </c>
      <c r="G25" s="958"/>
    </row>
    <row r="26" spans="1:7">
      <c r="A26" s="1155"/>
      <c r="B26" s="1159" t="s">
        <v>1297</v>
      </c>
      <c r="C26" s="1159"/>
      <c r="D26" s="596">
        <f>'Notes 18-39'!D149</f>
        <v>94239.28</v>
      </c>
      <c r="E26" s="1159"/>
      <c r="F26" s="596">
        <f>'Notes 18-39'!F149</f>
        <v>112244.03</v>
      </c>
      <c r="G26" s="958"/>
    </row>
    <row r="27" spans="1:7">
      <c r="A27" s="1155"/>
      <c r="B27" s="1159" t="s">
        <v>1961</v>
      </c>
      <c r="C27" s="1159"/>
      <c r="D27" s="596">
        <f>'Statement of Financial Performa'!F27</f>
        <v>1447504.56</v>
      </c>
      <c r="E27" s="1159"/>
      <c r="F27" s="596">
        <f>'Statement of Financial Performa'!H27</f>
        <v>799677.8</v>
      </c>
      <c r="G27" s="958"/>
    </row>
    <row r="28" spans="1:7">
      <c r="A28" s="1155"/>
      <c r="B28" s="1159" t="s">
        <v>1298</v>
      </c>
      <c r="C28" s="1159"/>
      <c r="D28" s="596"/>
      <c r="E28" s="1159"/>
      <c r="F28" s="596"/>
      <c r="G28" s="958"/>
    </row>
    <row r="29" spans="1:7">
      <c r="A29" s="1155"/>
      <c r="B29" s="1159" t="s">
        <v>1315</v>
      </c>
      <c r="C29" s="1159"/>
      <c r="D29" s="596">
        <f>'Notes 18-39'!D151</f>
        <v>13580114.220000001</v>
      </c>
      <c r="E29" s="1159"/>
      <c r="F29" s="596">
        <f>'Notes 18-39'!F151</f>
        <v>792062.21</v>
      </c>
      <c r="G29" s="958"/>
    </row>
    <row r="30" spans="1:7">
      <c r="A30" s="1155"/>
      <c r="B30" s="1159" t="s">
        <v>1810</v>
      </c>
      <c r="C30" s="1159"/>
      <c r="D30" s="596">
        <f>'Notes 18-39'!D152</f>
        <v>0</v>
      </c>
      <c r="E30" s="1159"/>
      <c r="F30" s="596">
        <f>'Notes 18-39'!F152</f>
        <v>13191.93</v>
      </c>
      <c r="G30" s="958"/>
    </row>
    <row r="31" spans="1:7">
      <c r="A31" s="1155"/>
      <c r="B31" s="1159" t="s">
        <v>1768</v>
      </c>
      <c r="C31" s="1159"/>
      <c r="D31" s="596">
        <f>'Notes 18-39'!D153</f>
        <v>22771.759999999998</v>
      </c>
      <c r="E31" s="1159"/>
      <c r="F31" s="596">
        <f>'Notes 18-39'!F153</f>
        <v>18127.2</v>
      </c>
      <c r="G31" s="958"/>
    </row>
    <row r="32" spans="1:7">
      <c r="A32" s="1155"/>
      <c r="B32" s="1159" t="s">
        <v>1811</v>
      </c>
      <c r="C32" s="1159"/>
      <c r="D32" s="596">
        <f>'Notes 18-39'!D154</f>
        <v>3504.76</v>
      </c>
      <c r="E32" s="1159"/>
      <c r="F32" s="596">
        <f>'Notes 18-39'!F154</f>
        <v>2399.2199999999998</v>
      </c>
      <c r="G32" s="958"/>
    </row>
    <row r="33" spans="1:7">
      <c r="A33" s="1155"/>
      <c r="B33" s="1159" t="s">
        <v>1812</v>
      </c>
      <c r="C33" s="1159"/>
      <c r="D33" s="596">
        <f>'Notes 18-39'!D155</f>
        <v>0</v>
      </c>
      <c r="E33" s="1159"/>
      <c r="F33" s="596">
        <f>'Notes 18-39'!F155</f>
        <v>14819.44</v>
      </c>
      <c r="G33" s="958"/>
    </row>
    <row r="34" spans="1:7">
      <c r="A34" s="1155"/>
      <c r="B34" s="1159" t="s">
        <v>2444</v>
      </c>
      <c r="C34" s="1159"/>
      <c r="D34" s="596">
        <f>'Notes 18-39'!D156</f>
        <v>295064.28000000003</v>
      </c>
      <c r="E34" s="1159"/>
      <c r="F34" s="596"/>
      <c r="G34" s="958"/>
    </row>
    <row r="35" spans="1:7">
      <c r="A35" s="1155"/>
      <c r="B35" s="1159" t="s">
        <v>650</v>
      </c>
      <c r="C35" s="1159"/>
      <c r="D35" s="596">
        <f>'Notes 18-39'!D157</f>
        <v>33795.480000000003</v>
      </c>
      <c r="E35" s="1159"/>
      <c r="F35" s="596">
        <f>'Notes 18-39'!F157</f>
        <v>21038.45</v>
      </c>
      <c r="G35" s="958"/>
    </row>
    <row r="36" spans="1:7">
      <c r="A36" s="1155"/>
      <c r="B36" s="1159" t="s">
        <v>651</v>
      </c>
      <c r="C36" s="1159"/>
      <c r="D36" s="597">
        <f>'Notes 18-39'!D158</f>
        <v>178836.4</v>
      </c>
      <c r="E36" s="1159"/>
      <c r="F36" s="597">
        <f>'Notes 18-39'!F158</f>
        <v>71070.2</v>
      </c>
      <c r="G36" s="958"/>
    </row>
    <row r="37" spans="1:7">
      <c r="A37" s="1155"/>
      <c r="B37" s="171"/>
      <c r="C37" s="171"/>
      <c r="D37" s="171"/>
      <c r="E37" s="171"/>
      <c r="F37" s="212"/>
      <c r="G37" s="958"/>
    </row>
    <row r="38" spans="1:7">
      <c r="A38" s="388"/>
      <c r="B38" s="369"/>
      <c r="C38" s="369"/>
      <c r="D38" s="369"/>
      <c r="E38" s="369"/>
      <c r="F38" s="369"/>
      <c r="G38" s="389"/>
    </row>
    <row r="39" spans="1:7" ht="13.5" thickBot="1">
      <c r="A39" s="388"/>
      <c r="B39" s="142" t="s">
        <v>1877</v>
      </c>
      <c r="C39" s="369"/>
      <c r="D39" s="939">
        <f>D20+D8</f>
        <v>131167888.15000001</v>
      </c>
      <c r="E39" s="369"/>
      <c r="F39" s="939">
        <f>F20+F8</f>
        <v>93310873.280000001</v>
      </c>
      <c r="G39" s="389"/>
    </row>
    <row r="40" spans="1:7" ht="14.25" thickTop="1" thickBot="1">
      <c r="A40" s="620"/>
      <c r="B40" s="397"/>
      <c r="C40" s="397"/>
      <c r="D40" s="397"/>
      <c r="E40" s="397"/>
      <c r="F40" s="397"/>
      <c r="G40" s="398"/>
    </row>
    <row r="41" spans="1:7">
      <c r="A41" s="369"/>
      <c r="B41" s="369"/>
      <c r="C41" s="369"/>
      <c r="D41" s="369"/>
      <c r="E41" s="369"/>
      <c r="F41" s="369"/>
      <c r="G41" s="369"/>
    </row>
    <row r="42" spans="1:7">
      <c r="A42" s="369"/>
      <c r="B42" s="369"/>
      <c r="C42" s="369"/>
      <c r="D42" s="369"/>
      <c r="E42" s="369"/>
      <c r="F42" s="369"/>
      <c r="G42" s="369"/>
    </row>
    <row r="43" spans="1:7" hidden="1">
      <c r="A43" s="217">
        <v>16</v>
      </c>
      <c r="B43" s="125" t="s">
        <v>2247</v>
      </c>
      <c r="C43" s="369"/>
      <c r="D43" s="369"/>
      <c r="E43" s="369"/>
      <c r="F43" s="369"/>
      <c r="G43" s="369"/>
    </row>
    <row r="44" spans="1:7" hidden="1">
      <c r="A44" s="511"/>
    </row>
    <row r="45" spans="1:7" hidden="1">
      <c r="A45" s="511"/>
      <c r="B45" s="363" t="s">
        <v>2248</v>
      </c>
    </row>
    <row r="46" spans="1:7" hidden="1">
      <c r="A46" s="511"/>
    </row>
    <row r="47" spans="1:7" hidden="1">
      <c r="A47" s="511">
        <v>17</v>
      </c>
      <c r="B47" s="125" t="s">
        <v>2249</v>
      </c>
    </row>
    <row r="48" spans="1:7" hidden="1">
      <c r="A48" s="511"/>
      <c r="B48" s="125"/>
    </row>
    <row r="49" spans="1:2" hidden="1">
      <c r="A49" s="511"/>
      <c r="B49" s="363" t="s">
        <v>2250</v>
      </c>
    </row>
    <row r="50" spans="1:2" hidden="1">
      <c r="A50" s="511"/>
    </row>
    <row r="51" spans="1:2" hidden="1">
      <c r="A51" s="511">
        <v>18</v>
      </c>
      <c r="B51" s="125" t="s">
        <v>2251</v>
      </c>
    </row>
    <row r="52" spans="1:2" hidden="1">
      <c r="A52" s="511"/>
    </row>
    <row r="53" spans="1:2" hidden="1">
      <c r="A53" s="511"/>
      <c r="B53" s="363" t="s">
        <v>2252</v>
      </c>
    </row>
    <row r="54" spans="1:2" hidden="1">
      <c r="A54" s="511"/>
    </row>
    <row r="55" spans="1:2" ht="25.5" hidden="1">
      <c r="A55" s="511"/>
      <c r="B55" s="408" t="s">
        <v>2253</v>
      </c>
    </row>
    <row r="56" spans="1:2" hidden="1"/>
    <row r="57" spans="1:2" hidden="1"/>
  </sheetData>
  <mergeCells count="2">
    <mergeCell ref="A1:G1"/>
    <mergeCell ref="A2:G2"/>
  </mergeCells>
  <pageMargins left="0.70866141732283472" right="0.70866141732283472" top="0.74803149606299213" bottom="0.74803149606299213" header="0.31496062992125984" footer="0.31496062992125984"/>
  <pageSetup paperSize="9" scale="92" orientation="portrait" r:id="rId1"/>
  <headerFooter>
    <oddFooter>&amp;R&amp;P</oddFooter>
  </headerFooter>
</worksheet>
</file>

<file path=xl/worksheets/sheet17.xml><?xml version="1.0" encoding="utf-8"?>
<worksheet xmlns="http://schemas.openxmlformats.org/spreadsheetml/2006/main" xmlns:r="http://schemas.openxmlformats.org/officeDocument/2006/relationships">
  <dimension ref="A1:L143"/>
  <sheetViews>
    <sheetView view="pageBreakPreview" topLeftCell="A126" zoomScaleSheetLayoutView="100" workbookViewId="0">
      <selection activeCell="D141" sqref="D141"/>
    </sheetView>
  </sheetViews>
  <sheetFormatPr defaultRowHeight="12.75"/>
  <cols>
    <col min="1" max="1" width="9.140625" style="260" customWidth="1"/>
    <col min="2" max="2" width="45.140625" style="364" customWidth="1"/>
    <col min="3" max="3" width="3.140625" style="364" customWidth="1"/>
    <col min="4" max="4" width="18.140625" style="364" customWidth="1"/>
    <col min="5" max="5" width="3.140625" style="364" customWidth="1"/>
    <col min="6" max="6" width="17.85546875" style="587" customWidth="1"/>
    <col min="7" max="8" width="2.28515625" style="364" customWidth="1"/>
    <col min="9" max="9" width="3.7109375" style="364" customWidth="1"/>
    <col min="10" max="11" width="2.28515625" style="364" customWidth="1"/>
    <col min="12" max="12" width="10.28515625" style="364" bestFit="1" customWidth="1"/>
    <col min="13" max="16384" width="9.140625" style="364"/>
  </cols>
  <sheetData>
    <row r="1" spans="1:11" ht="15.75" customHeight="1">
      <c r="A1" s="1723" t="s">
        <v>1349</v>
      </c>
      <c r="B1" s="1724"/>
      <c r="C1" s="1724"/>
      <c r="D1" s="1724"/>
      <c r="E1" s="1724"/>
      <c r="F1" s="1724"/>
      <c r="G1" s="1725"/>
      <c r="H1" s="1613"/>
      <c r="I1" s="1613"/>
      <c r="J1" s="1613"/>
      <c r="K1" s="1613"/>
    </row>
    <row r="2" spans="1:11">
      <c r="A2" s="1720" t="s">
        <v>2075</v>
      </c>
      <c r="B2" s="1721"/>
      <c r="C2" s="1721"/>
      <c r="D2" s="1721"/>
      <c r="E2" s="1721"/>
      <c r="F2" s="1721"/>
      <c r="G2" s="1722"/>
      <c r="H2" s="1617"/>
      <c r="I2" s="1617"/>
      <c r="J2" s="1617"/>
      <c r="K2" s="1617"/>
    </row>
    <row r="3" spans="1:11">
      <c r="A3" s="1614"/>
      <c r="B3" s="1025"/>
      <c r="C3" s="1025"/>
      <c r="D3" s="1025"/>
      <c r="E3" s="1025"/>
      <c r="F3" s="219"/>
      <c r="G3" s="392"/>
      <c r="H3" s="1025"/>
      <c r="I3" s="1025"/>
      <c r="J3" s="1025"/>
      <c r="K3" s="1025"/>
    </row>
    <row r="4" spans="1:11">
      <c r="A4" s="1614"/>
      <c r="B4" s="1025"/>
      <c r="C4" s="1025"/>
      <c r="D4" s="1025"/>
      <c r="E4" s="1025"/>
      <c r="F4" s="219"/>
      <c r="G4" s="392"/>
      <c r="H4" s="1025"/>
      <c r="I4" s="1025"/>
      <c r="J4" s="1025"/>
      <c r="K4" s="1025"/>
    </row>
    <row r="5" spans="1:11" s="260" customFormat="1">
      <c r="A5" s="1614"/>
      <c r="B5" s="1613"/>
      <c r="C5" s="1613"/>
      <c r="D5" s="159" t="s">
        <v>2077</v>
      </c>
      <c r="E5" s="1613"/>
      <c r="F5" s="159" t="s">
        <v>1796</v>
      </c>
      <c r="G5" s="1615"/>
      <c r="H5" s="1613"/>
      <c r="I5" s="1613"/>
      <c r="J5" s="1613"/>
      <c r="K5" s="1613"/>
    </row>
    <row r="6" spans="1:11" s="260" customFormat="1">
      <c r="A6" s="1614"/>
      <c r="B6" s="1613"/>
      <c r="C6" s="1613"/>
      <c r="D6" s="1613" t="s">
        <v>1314</v>
      </c>
      <c r="E6" s="1613"/>
      <c r="F6" s="222" t="s">
        <v>1314</v>
      </c>
      <c r="G6" s="1615"/>
      <c r="H6" s="1613"/>
      <c r="I6" s="1613"/>
      <c r="J6" s="1613"/>
      <c r="K6" s="1613"/>
    </row>
    <row r="7" spans="1:11">
      <c r="A7" s="1614"/>
      <c r="B7" s="1025"/>
      <c r="C7" s="1025"/>
      <c r="D7" s="1025"/>
      <c r="E7" s="1025"/>
      <c r="F7" s="219"/>
      <c r="G7" s="392"/>
      <c r="H7" s="1025"/>
      <c r="I7" s="1025"/>
      <c r="J7" s="1025"/>
      <c r="K7" s="1025"/>
    </row>
    <row r="8" spans="1:11" s="164" customFormat="1">
      <c r="A8" s="1616">
        <v>16</v>
      </c>
      <c r="B8" s="160" t="s">
        <v>1331</v>
      </c>
      <c r="C8" s="160"/>
      <c r="D8" s="160"/>
      <c r="E8" s="160"/>
      <c r="F8" s="161"/>
      <c r="G8" s="272"/>
      <c r="H8" s="1026"/>
      <c r="I8" s="1026"/>
      <c r="J8" s="1026"/>
      <c r="K8" s="1026"/>
    </row>
    <row r="9" spans="1:11" s="164" customFormat="1">
      <c r="A9" s="1616"/>
      <c r="B9" s="160"/>
      <c r="C9" s="160"/>
      <c r="D9" s="160"/>
      <c r="E9" s="160"/>
      <c r="F9" s="161"/>
      <c r="G9" s="272"/>
      <c r="H9" s="1026"/>
      <c r="I9" s="1026"/>
      <c r="J9" s="1026"/>
      <c r="K9" s="1026"/>
    </row>
    <row r="10" spans="1:11">
      <c r="A10" s="1614"/>
      <c r="B10" s="1619" t="s">
        <v>700</v>
      </c>
      <c r="C10" s="1619"/>
      <c r="D10" s="588">
        <f>'main TB'!R119</f>
        <v>0</v>
      </c>
      <c r="E10" s="1619"/>
      <c r="F10" s="588">
        <f>'main TB'!O119</f>
        <v>1757.51</v>
      </c>
      <c r="G10" s="392"/>
      <c r="H10" s="1025"/>
      <c r="I10" s="1025"/>
      <c r="J10" s="1025"/>
      <c r="K10" s="1025"/>
    </row>
    <row r="11" spans="1:11">
      <c r="A11" s="1614"/>
      <c r="B11" s="1619" t="s">
        <v>1735</v>
      </c>
      <c r="C11" s="1619"/>
      <c r="D11" s="514">
        <f>'main TB'!R21</f>
        <v>0</v>
      </c>
      <c r="E11" s="1619"/>
      <c r="F11" s="514">
        <f>'main TB'!O21</f>
        <v>-566614.51</v>
      </c>
      <c r="G11" s="392"/>
      <c r="H11" s="1025"/>
      <c r="I11" s="1025"/>
      <c r="J11" s="1025"/>
      <c r="K11" s="1025"/>
    </row>
    <row r="12" spans="1:11">
      <c r="A12" s="1614"/>
      <c r="B12" s="1619" t="s">
        <v>531</v>
      </c>
      <c r="C12" s="1619"/>
      <c r="D12" s="514">
        <f>SUM('main TB'!R118)</f>
        <v>64940</v>
      </c>
      <c r="E12" s="1619"/>
      <c r="F12" s="514">
        <f>SUM('main TB'!O118)</f>
        <v>494511.46</v>
      </c>
      <c r="G12" s="392"/>
      <c r="H12" s="1025"/>
      <c r="I12" s="1025"/>
      <c r="J12" s="1025"/>
      <c r="K12" s="1025"/>
    </row>
    <row r="13" spans="1:11">
      <c r="A13" s="1614"/>
      <c r="B13" s="1619" t="s">
        <v>1448</v>
      </c>
      <c r="C13" s="1619"/>
      <c r="D13" s="514">
        <f>+'main TB'!R125</f>
        <v>2238533.69</v>
      </c>
      <c r="E13" s="1619"/>
      <c r="F13" s="514">
        <f>+'main TB'!O125</f>
        <v>1084447.8999999999</v>
      </c>
      <c r="G13" s="392"/>
      <c r="H13" s="1025"/>
      <c r="I13" s="1025"/>
      <c r="J13" s="1025"/>
      <c r="K13" s="1025"/>
    </row>
    <row r="14" spans="1:11">
      <c r="A14" s="1614"/>
      <c r="B14" s="1619" t="s">
        <v>1300</v>
      </c>
      <c r="C14" s="1619"/>
      <c r="D14" s="514">
        <f>SUM('main TB'!R123)</f>
        <v>30094.080000000016</v>
      </c>
      <c r="E14" s="1619"/>
      <c r="F14" s="514">
        <f>SUM('main TB'!O123)</f>
        <v>79052.200000000012</v>
      </c>
      <c r="G14" s="392"/>
      <c r="H14" s="1025"/>
      <c r="I14" s="1025"/>
      <c r="J14" s="1025"/>
      <c r="K14" s="1025"/>
    </row>
    <row r="15" spans="1:11">
      <c r="A15" s="1614"/>
      <c r="B15" s="1619" t="s">
        <v>1449</v>
      </c>
      <c r="C15" s="1619"/>
      <c r="D15" s="514">
        <f>'main TB'!R129</f>
        <v>1406867.63</v>
      </c>
      <c r="E15" s="1619"/>
      <c r="F15" s="514">
        <f>'main TB'!O129</f>
        <v>1961656.4499999997</v>
      </c>
      <c r="G15" s="392"/>
      <c r="H15" s="1025"/>
      <c r="I15" s="1025"/>
      <c r="J15" s="1025"/>
      <c r="K15" s="1025"/>
    </row>
    <row r="16" spans="1:11">
      <c r="A16" s="1614"/>
      <c r="B16" s="1619" t="s">
        <v>1301</v>
      </c>
      <c r="C16" s="1619"/>
      <c r="D16" s="514">
        <f>SUM('main TB'!R126)</f>
        <v>3044137.0300000086</v>
      </c>
      <c r="E16" s="1619"/>
      <c r="F16" s="514">
        <f>SUM('main TB'!O126)</f>
        <v>2564275.7000000104</v>
      </c>
      <c r="G16" s="392"/>
      <c r="H16" s="1025"/>
      <c r="I16" s="1025"/>
      <c r="J16" s="1025"/>
      <c r="K16" s="1025"/>
    </row>
    <row r="17" spans="1:11">
      <c r="A17" s="1614"/>
      <c r="B17" s="1619" t="s">
        <v>1726</v>
      </c>
      <c r="C17" s="1619"/>
      <c r="D17" s="514">
        <f>'main TB'!R131</f>
        <v>943941.64000000013</v>
      </c>
      <c r="E17" s="1619"/>
      <c r="F17" s="514">
        <f>'main TB'!O131</f>
        <v>754842.32000000007</v>
      </c>
      <c r="G17" s="392"/>
      <c r="H17" s="1025"/>
      <c r="I17" s="1025"/>
      <c r="J17" s="1025"/>
      <c r="K17" s="1025"/>
    </row>
    <row r="18" spans="1:11">
      <c r="A18" s="1614"/>
      <c r="B18" s="1619" t="s">
        <v>2038</v>
      </c>
      <c r="C18" s="1619"/>
      <c r="D18" s="514">
        <f>'main TB'!R135</f>
        <v>3012961.87</v>
      </c>
      <c r="E18" s="1619"/>
      <c r="F18" s="514">
        <f>'main TB'!O135</f>
        <v>1946801.4</v>
      </c>
      <c r="G18" s="392"/>
      <c r="H18" s="1025"/>
      <c r="I18" s="1025"/>
      <c r="J18" s="1025"/>
      <c r="K18" s="1025"/>
    </row>
    <row r="19" spans="1:11">
      <c r="A19" s="1614"/>
      <c r="B19" s="1619" t="s">
        <v>2028</v>
      </c>
      <c r="C19" s="1619"/>
      <c r="D19" s="514">
        <f>'main TB'!R134</f>
        <v>33074.370000000003</v>
      </c>
      <c r="E19" s="1619"/>
      <c r="F19" s="514">
        <f>'main TB'!O134</f>
        <v>33074.370000000003</v>
      </c>
      <c r="G19" s="392"/>
      <c r="H19" s="1025"/>
      <c r="I19" s="1025"/>
      <c r="J19" s="1025"/>
      <c r="K19" s="1025"/>
    </row>
    <row r="20" spans="1:11">
      <c r="A20" s="1614"/>
      <c r="B20" s="1619" t="s">
        <v>1847</v>
      </c>
      <c r="C20" s="1619"/>
      <c r="D20" s="514">
        <v>0</v>
      </c>
      <c r="E20" s="1619"/>
      <c r="F20" s="514">
        <v>0</v>
      </c>
      <c r="G20" s="392"/>
      <c r="H20" s="1025"/>
      <c r="I20" s="1025"/>
      <c r="J20" s="1025"/>
      <c r="K20" s="1025"/>
    </row>
    <row r="21" spans="1:11">
      <c r="A21" s="1614"/>
      <c r="B21" s="1619" t="s">
        <v>364</v>
      </c>
      <c r="C21" s="1619"/>
      <c r="D21" s="590">
        <f>SUM('main TB'!R124+'main TB'!R127+'main TB'!R128)+'main TB'!R130+'main TB'!R132+'main TB'!R133</f>
        <v>17297.330000000002</v>
      </c>
      <c r="E21" s="1619"/>
      <c r="F21" s="590">
        <f>SUM('main TB'!O124+'main TB'!O127+'main TB'!O128)+'main TB'!O130+'main TB'!O132+'main TB'!O133</f>
        <v>153277.01999999999</v>
      </c>
      <c r="G21" s="392"/>
      <c r="H21" s="1025"/>
      <c r="I21" s="1025"/>
      <c r="J21" s="1025"/>
      <c r="K21" s="1025"/>
    </row>
    <row r="22" spans="1:11">
      <c r="A22" s="1614"/>
      <c r="B22" s="1619"/>
      <c r="C22" s="1619"/>
      <c r="D22" s="1619"/>
      <c r="E22" s="1619"/>
      <c r="F22" s="219"/>
      <c r="G22" s="392"/>
      <c r="H22" s="1025"/>
      <c r="I22" s="1025"/>
      <c r="J22" s="1025"/>
      <c r="K22" s="1025"/>
    </row>
    <row r="23" spans="1:11" ht="13.5" thickBot="1">
      <c r="A23" s="1614"/>
      <c r="B23" s="160" t="s">
        <v>342</v>
      </c>
      <c r="C23" s="160"/>
      <c r="D23" s="271">
        <f>SUM(D10:D21)</f>
        <v>10791847.640000008</v>
      </c>
      <c r="E23" s="160"/>
      <c r="F23" s="271">
        <f>SUM(F10:F21)</f>
        <v>8507081.8200000115</v>
      </c>
      <c r="G23" s="392"/>
      <c r="H23" s="1025"/>
      <c r="I23" s="1025"/>
      <c r="J23" s="1025"/>
      <c r="K23" s="1025"/>
    </row>
    <row r="24" spans="1:11" ht="13.5" thickTop="1">
      <c r="A24" s="1614"/>
      <c r="B24" s="160" t="s">
        <v>1375</v>
      </c>
      <c r="C24" s="160"/>
      <c r="D24" s="160"/>
      <c r="E24" s="160"/>
      <c r="F24" s="161"/>
      <c r="G24" s="392"/>
      <c r="H24" s="1025"/>
      <c r="I24" s="1025"/>
      <c r="J24" s="1025"/>
      <c r="K24" s="1025"/>
    </row>
    <row r="25" spans="1:11">
      <c r="A25" s="1614"/>
      <c r="B25" s="1025"/>
      <c r="C25" s="1025"/>
      <c r="D25" s="1025"/>
      <c r="E25" s="1025"/>
      <c r="F25" s="219"/>
      <c r="G25" s="392"/>
      <c r="H25" s="1025"/>
      <c r="I25" s="1025"/>
      <c r="J25" s="1025"/>
      <c r="K25" s="1025"/>
    </row>
    <row r="26" spans="1:11">
      <c r="A26" s="1614"/>
      <c r="B26" s="1025"/>
      <c r="C26" s="1025"/>
      <c r="D26" s="1025"/>
      <c r="E26" s="1025"/>
      <c r="F26" s="219"/>
      <c r="G26" s="392"/>
      <c r="H26" s="1025"/>
      <c r="I26" s="1025"/>
      <c r="J26" s="1025"/>
      <c r="K26" s="1025"/>
    </row>
    <row r="27" spans="1:11">
      <c r="A27" s="609"/>
      <c r="B27" s="369"/>
      <c r="C27" s="369"/>
      <c r="D27" s="295"/>
      <c r="E27" s="369"/>
      <c r="F27" s="295"/>
      <c r="G27" s="392"/>
      <c r="H27" s="1025"/>
      <c r="I27" s="1025"/>
      <c r="J27" s="1025"/>
      <c r="K27" s="1025"/>
    </row>
    <row r="28" spans="1:11">
      <c r="A28" s="1616">
        <v>17</v>
      </c>
      <c r="B28" s="128" t="s">
        <v>1332</v>
      </c>
      <c r="C28" s="369"/>
      <c r="D28" s="159" t="s">
        <v>2077</v>
      </c>
      <c r="E28" s="369"/>
      <c r="F28" s="159" t="s">
        <v>1796</v>
      </c>
      <c r="G28" s="392"/>
      <c r="H28" s="1025"/>
      <c r="I28" s="1025"/>
      <c r="J28" s="1025"/>
      <c r="K28" s="1025"/>
    </row>
    <row r="29" spans="1:11">
      <c r="A29" s="1616"/>
      <c r="B29" s="128"/>
      <c r="C29" s="369"/>
      <c r="D29" s="1613" t="s">
        <v>1314</v>
      </c>
      <c r="E29" s="369"/>
      <c r="F29" s="222" t="s">
        <v>1314</v>
      </c>
      <c r="G29" s="392"/>
      <c r="H29" s="1025"/>
      <c r="I29" s="1025"/>
      <c r="J29" s="1025"/>
      <c r="K29" s="1025"/>
    </row>
    <row r="30" spans="1:11">
      <c r="A30" s="1616"/>
      <c r="B30" s="363" t="s">
        <v>2226</v>
      </c>
      <c r="C30" s="369"/>
      <c r="D30" s="1613"/>
      <c r="E30" s="369"/>
      <c r="F30" s="222"/>
      <c r="G30" s="392"/>
      <c r="H30" s="1025"/>
      <c r="I30" s="1025"/>
      <c r="J30" s="1025"/>
      <c r="K30" s="1025"/>
    </row>
    <row r="31" spans="1:11">
      <c r="A31" s="1616"/>
      <c r="B31" s="363" t="s">
        <v>2227</v>
      </c>
      <c r="C31" s="369"/>
      <c r="D31" s="1613"/>
      <c r="E31" s="369"/>
      <c r="F31" s="222"/>
      <c r="G31" s="392"/>
      <c r="H31" s="1025"/>
      <c r="I31" s="1025"/>
      <c r="J31" s="1025"/>
      <c r="K31" s="1025"/>
    </row>
    <row r="32" spans="1:11">
      <c r="A32" s="1616"/>
      <c r="B32" s="363" t="s">
        <v>2228</v>
      </c>
      <c r="C32" s="369"/>
      <c r="D32" s="222">
        <v>6107149.3300000001</v>
      </c>
      <c r="E32" s="369"/>
      <c r="F32" s="222">
        <v>1105974</v>
      </c>
      <c r="G32" s="392"/>
      <c r="H32" s="1025"/>
      <c r="I32" s="1025"/>
      <c r="J32" s="1025"/>
      <c r="K32" s="1025"/>
    </row>
    <row r="33" spans="1:11">
      <c r="A33" s="1616"/>
      <c r="B33" s="363" t="s">
        <v>2229</v>
      </c>
      <c r="C33" s="369"/>
      <c r="D33" s="1613"/>
      <c r="E33" s="369"/>
      <c r="F33" s="222"/>
      <c r="G33" s="392"/>
      <c r="H33" s="1025"/>
      <c r="I33" s="1025"/>
      <c r="J33" s="1025"/>
      <c r="K33" s="1025"/>
    </row>
    <row r="34" spans="1:11" ht="13.5" thickBot="1">
      <c r="A34" s="1616"/>
      <c r="B34" s="363"/>
      <c r="C34" s="369"/>
      <c r="D34" s="193">
        <f>SUM(D32:D33)</f>
        <v>6107149.3300000001</v>
      </c>
      <c r="E34" s="369"/>
      <c r="F34" s="193"/>
      <c r="G34" s="392"/>
      <c r="H34" s="1025"/>
      <c r="I34" s="1025"/>
      <c r="J34" s="1025"/>
      <c r="K34" s="1025"/>
    </row>
    <row r="35" spans="1:11" ht="13.5" thickTop="1">
      <c r="A35" s="1616"/>
      <c r="B35" s="363"/>
      <c r="C35" s="369"/>
      <c r="D35" s="1613"/>
      <c r="E35" s="369"/>
      <c r="F35" s="222"/>
      <c r="G35" s="392"/>
      <c r="H35" s="1025"/>
      <c r="I35" s="1025"/>
      <c r="J35" s="1025"/>
      <c r="K35" s="1025"/>
    </row>
    <row r="36" spans="1:11">
      <c r="A36" s="609"/>
      <c r="B36" s="369" t="s">
        <v>343</v>
      </c>
      <c r="C36" s="369"/>
      <c r="D36" s="369"/>
      <c r="E36" s="369"/>
      <c r="F36" s="209"/>
      <c r="G36" s="392"/>
      <c r="H36" s="1025"/>
      <c r="I36" s="1025"/>
      <c r="J36" s="1025"/>
      <c r="K36" s="1025"/>
    </row>
    <row r="37" spans="1:11">
      <c r="A37" s="609"/>
      <c r="B37" s="369"/>
      <c r="C37" s="369"/>
      <c r="D37" s="369"/>
      <c r="E37" s="369"/>
      <c r="F37" s="209"/>
      <c r="G37" s="392"/>
      <c r="H37" s="1025"/>
      <c r="I37" s="1025"/>
      <c r="J37" s="1025"/>
      <c r="K37" s="1025"/>
    </row>
    <row r="38" spans="1:11">
      <c r="A38" s="1614"/>
      <c r="B38" s="369" t="s">
        <v>334</v>
      </c>
      <c r="C38" s="369"/>
      <c r="D38" s="369"/>
      <c r="E38" s="369"/>
      <c r="F38" s="209"/>
      <c r="G38" s="392"/>
      <c r="H38" s="1025"/>
      <c r="I38" s="1025"/>
      <c r="J38" s="1025"/>
      <c r="K38" s="1025"/>
    </row>
    <row r="39" spans="1:11">
      <c r="A39" s="1614"/>
      <c r="B39" s="369" t="s">
        <v>335</v>
      </c>
      <c r="C39" s="369"/>
      <c r="D39" s="369"/>
      <c r="E39" s="369"/>
      <c r="F39" s="209"/>
      <c r="G39" s="392"/>
      <c r="H39" s="1025"/>
      <c r="I39" s="1025"/>
      <c r="J39" s="1025"/>
      <c r="K39" s="1025"/>
    </row>
    <row r="40" spans="1:11">
      <c r="A40" s="1614"/>
      <c r="B40" s="369" t="s">
        <v>336</v>
      </c>
      <c r="C40" s="369"/>
      <c r="D40" s="369"/>
      <c r="E40" s="369"/>
      <c r="F40" s="209"/>
      <c r="G40" s="392"/>
      <c r="H40" s="1025"/>
      <c r="I40" s="1025"/>
      <c r="J40" s="1025"/>
      <c r="K40" s="1025"/>
    </row>
    <row r="41" spans="1:11">
      <c r="A41" s="1614"/>
      <c r="B41" s="369" t="s">
        <v>1229</v>
      </c>
      <c r="C41" s="369"/>
      <c r="D41" s="369"/>
      <c r="E41" s="369"/>
      <c r="F41" s="209"/>
      <c r="G41" s="392"/>
      <c r="H41" s="1025"/>
      <c r="I41" s="1025"/>
      <c r="J41" s="1025"/>
      <c r="K41" s="1025"/>
    </row>
    <row r="42" spans="1:11">
      <c r="A42" s="1614"/>
      <c r="B42" s="369" t="s">
        <v>1230</v>
      </c>
      <c r="C42" s="369"/>
      <c r="D42" s="209">
        <v>1103688</v>
      </c>
      <c r="E42" s="369"/>
      <c r="F42" s="209">
        <v>1011400.93</v>
      </c>
      <c r="G42" s="392"/>
      <c r="H42" s="1025"/>
      <c r="I42" s="1025"/>
      <c r="J42" s="1025"/>
      <c r="K42" s="1025"/>
    </row>
    <row r="43" spans="1:11">
      <c r="A43" s="1614"/>
      <c r="B43" s="369" t="s">
        <v>1231</v>
      </c>
      <c r="C43" s="369"/>
      <c r="D43" s="209">
        <v>6125687.3799999999</v>
      </c>
      <c r="E43" s="369"/>
      <c r="F43" s="209">
        <v>1103687.8700000001</v>
      </c>
      <c r="G43" s="392"/>
      <c r="H43" s="1025"/>
      <c r="I43" s="1025"/>
      <c r="J43" s="1025"/>
      <c r="K43" s="1025"/>
    </row>
    <row r="44" spans="1:11">
      <c r="A44" s="1614"/>
      <c r="B44" s="369" t="s">
        <v>2030</v>
      </c>
      <c r="C44" s="369"/>
      <c r="D44" s="209">
        <v>-28802</v>
      </c>
      <c r="E44" s="369"/>
      <c r="F44" s="209">
        <v>28802.17</v>
      </c>
      <c r="G44" s="392"/>
      <c r="H44" s="1025"/>
      <c r="I44" s="1025"/>
      <c r="J44" s="1025"/>
      <c r="K44" s="1025"/>
    </row>
    <row r="45" spans="1:11">
      <c r="A45" s="1614"/>
      <c r="B45" s="369" t="s">
        <v>1232</v>
      </c>
      <c r="C45" s="369"/>
      <c r="D45" s="209">
        <v>1103688</v>
      </c>
      <c r="E45" s="369"/>
      <c r="F45" s="209">
        <v>1011401</v>
      </c>
      <c r="G45" s="392"/>
      <c r="H45" s="1025"/>
      <c r="I45" s="1025"/>
      <c r="J45" s="1025"/>
      <c r="K45" s="1025"/>
    </row>
    <row r="46" spans="1:11">
      <c r="A46" s="1614"/>
      <c r="B46" s="369" t="s">
        <v>1233</v>
      </c>
      <c r="C46" s="369"/>
      <c r="D46" s="209">
        <f>4999112.38+28802+0.62</f>
        <v>5027915</v>
      </c>
      <c r="E46" s="369"/>
      <c r="F46" s="209">
        <v>49135.41</v>
      </c>
      <c r="G46" s="392"/>
      <c r="H46" s="1025"/>
      <c r="I46" s="1025"/>
      <c r="J46" s="1025"/>
      <c r="K46" s="1025"/>
    </row>
    <row r="47" spans="1:11" ht="13.5" thickBot="1">
      <c r="A47" s="1614"/>
      <c r="B47" s="369" t="s">
        <v>1234</v>
      </c>
      <c r="C47" s="369"/>
      <c r="D47" s="1171">
        <f>SUM(D44:D46)</f>
        <v>6102801</v>
      </c>
      <c r="E47" s="369"/>
      <c r="F47" s="1171">
        <f>SUM(F44:F46)</f>
        <v>1089338.58</v>
      </c>
      <c r="G47" s="392"/>
      <c r="H47" s="1025"/>
      <c r="I47" s="1025"/>
      <c r="J47" s="1025"/>
      <c r="K47" s="1025"/>
    </row>
    <row r="48" spans="1:11" s="164" customFormat="1" ht="13.5" thickTop="1">
      <c r="A48" s="1614"/>
      <c r="B48" s="369"/>
      <c r="C48" s="369"/>
      <c r="D48" s="369"/>
      <c r="E48" s="369"/>
      <c r="F48" s="209"/>
      <c r="G48" s="392"/>
      <c r="H48" s="1025"/>
      <c r="I48" s="1025"/>
      <c r="J48" s="1025"/>
      <c r="K48" s="1025"/>
    </row>
    <row r="49" spans="1:11">
      <c r="A49" s="1614"/>
      <c r="B49" s="369"/>
      <c r="C49" s="369"/>
      <c r="D49" s="369"/>
      <c r="E49" s="369"/>
      <c r="F49" s="209"/>
      <c r="G49" s="392"/>
      <c r="H49" s="1025"/>
      <c r="I49" s="1025"/>
      <c r="J49" s="1025"/>
      <c r="K49" s="1025"/>
    </row>
    <row r="50" spans="1:11">
      <c r="A50" s="1614"/>
      <c r="B50" s="369"/>
      <c r="C50" s="369"/>
      <c r="D50" s="369"/>
      <c r="E50" s="369"/>
      <c r="F50" s="209"/>
      <c r="G50" s="392"/>
      <c r="H50" s="1025"/>
      <c r="I50" s="1025"/>
      <c r="J50" s="1025"/>
      <c r="K50" s="1025"/>
    </row>
    <row r="51" spans="1:11">
      <c r="A51" s="1614"/>
      <c r="B51" s="369" t="s">
        <v>334</v>
      </c>
      <c r="C51" s="369"/>
      <c r="D51" s="369"/>
      <c r="E51" s="369"/>
      <c r="F51" s="209"/>
      <c r="G51" s="392"/>
      <c r="H51" s="1025"/>
      <c r="I51" s="1025"/>
      <c r="J51" s="1025"/>
      <c r="K51" s="1025"/>
    </row>
    <row r="52" spans="1:11">
      <c r="A52" s="1614"/>
      <c r="B52" s="369" t="s">
        <v>337</v>
      </c>
      <c r="C52" s="369"/>
      <c r="D52" s="369"/>
      <c r="E52" s="369"/>
      <c r="F52" s="209"/>
      <c r="G52" s="392"/>
      <c r="H52" s="1025"/>
      <c r="I52" s="1025"/>
      <c r="J52" s="1025"/>
      <c r="K52" s="1025"/>
    </row>
    <row r="53" spans="1:11">
      <c r="A53" s="1614"/>
      <c r="B53" s="369" t="s">
        <v>336</v>
      </c>
      <c r="C53" s="369"/>
      <c r="D53" s="369"/>
      <c r="E53" s="369"/>
      <c r="F53" s="209"/>
      <c r="G53" s="392"/>
      <c r="H53" s="1025"/>
      <c r="I53" s="1025"/>
      <c r="J53" s="1025"/>
      <c r="K53" s="1025"/>
    </row>
    <row r="54" spans="1:11" s="164" customFormat="1">
      <c r="A54" s="1614"/>
      <c r="B54" s="369" t="s">
        <v>1288</v>
      </c>
      <c r="C54" s="369"/>
      <c r="D54" s="369"/>
      <c r="E54" s="369"/>
      <c r="F54" s="209"/>
      <c r="G54" s="392"/>
      <c r="H54" s="1025"/>
      <c r="I54" s="1025"/>
      <c r="J54" s="1025"/>
      <c r="K54" s="1025"/>
    </row>
    <row r="55" spans="1:11">
      <c r="A55" s="1614"/>
      <c r="B55" s="369" t="s">
        <v>1230</v>
      </c>
      <c r="C55" s="369"/>
      <c r="D55" s="369">
        <v>1175</v>
      </c>
      <c r="E55" s="369"/>
      <c r="F55" s="209">
        <v>1874.39</v>
      </c>
      <c r="G55" s="392"/>
      <c r="H55" s="1025"/>
      <c r="I55" s="1025"/>
      <c r="J55" s="1025"/>
      <c r="K55" s="1025"/>
    </row>
    <row r="56" spans="1:11" s="606" customFormat="1" ht="27.75" customHeight="1">
      <c r="A56" s="273"/>
      <c r="B56" s="369" t="s">
        <v>1231</v>
      </c>
      <c r="C56" s="369"/>
      <c r="D56" s="369">
        <v>0</v>
      </c>
      <c r="E56" s="369"/>
      <c r="F56" s="209">
        <v>1175</v>
      </c>
      <c r="G56" s="392"/>
      <c r="H56" s="1025"/>
      <c r="I56" s="1025"/>
      <c r="J56" s="1025"/>
      <c r="K56" s="1025"/>
    </row>
    <row r="57" spans="1:11">
      <c r="A57" s="1614"/>
      <c r="B57" s="369"/>
      <c r="C57" s="369"/>
      <c r="D57" s="369"/>
      <c r="E57" s="369"/>
      <c r="F57" s="209"/>
      <c r="G57" s="392"/>
      <c r="H57" s="1025"/>
      <c r="I57" s="1025"/>
      <c r="J57" s="1025"/>
      <c r="K57" s="1025"/>
    </row>
    <row r="58" spans="1:11">
      <c r="A58" s="388"/>
      <c r="B58" s="369" t="s">
        <v>1232</v>
      </c>
      <c r="C58" s="369"/>
      <c r="D58" s="369">
        <v>1175</v>
      </c>
      <c r="E58" s="369"/>
      <c r="F58" s="209">
        <v>1874</v>
      </c>
      <c r="G58" s="392"/>
      <c r="H58" s="1025"/>
      <c r="I58" s="1025"/>
      <c r="J58" s="1025"/>
      <c r="K58" s="1025"/>
    </row>
    <row r="59" spans="1:11">
      <c r="A59" s="388"/>
      <c r="B59" s="369" t="s">
        <v>1233</v>
      </c>
      <c r="C59" s="369"/>
      <c r="D59" s="369">
        <v>-1175</v>
      </c>
      <c r="E59" s="369"/>
      <c r="F59" s="209">
        <v>-698.51</v>
      </c>
      <c r="G59" s="392"/>
      <c r="H59" s="1025"/>
      <c r="I59" s="1025"/>
      <c r="J59" s="1025"/>
      <c r="K59" s="1025"/>
    </row>
    <row r="60" spans="1:11" ht="13.5" thickBot="1">
      <c r="A60" s="388"/>
      <c r="B60" s="369" t="s">
        <v>1234</v>
      </c>
      <c r="C60" s="369"/>
      <c r="D60" s="1171">
        <f>SUM(D58:D59)</f>
        <v>0</v>
      </c>
      <c r="E60" s="369"/>
      <c r="F60" s="1171">
        <f>SUM(F58:F59)</f>
        <v>1175.49</v>
      </c>
      <c r="G60" s="392"/>
      <c r="H60" s="1025"/>
      <c r="I60" s="1025"/>
      <c r="J60" s="1025"/>
      <c r="K60" s="1025"/>
    </row>
    <row r="61" spans="1:11" ht="13.5" thickTop="1">
      <c r="A61" s="388"/>
      <c r="B61" s="369"/>
      <c r="C61" s="369"/>
      <c r="D61" s="369"/>
      <c r="E61" s="369"/>
      <c r="F61" s="209"/>
      <c r="G61" s="392"/>
      <c r="H61" s="1025"/>
      <c r="I61" s="1025"/>
      <c r="J61" s="1025"/>
      <c r="K61" s="1025"/>
    </row>
    <row r="62" spans="1:11">
      <c r="A62" s="388"/>
      <c r="B62" s="369"/>
      <c r="C62" s="369"/>
      <c r="D62" s="369"/>
      <c r="E62" s="369"/>
      <c r="F62" s="209"/>
      <c r="G62" s="392"/>
      <c r="H62" s="1025"/>
      <c r="I62" s="1025"/>
      <c r="J62" s="1025"/>
      <c r="K62" s="1025"/>
    </row>
    <row r="63" spans="1:11">
      <c r="A63" s="388"/>
      <c r="B63" s="369"/>
      <c r="C63" s="369"/>
      <c r="D63" s="369"/>
      <c r="E63" s="369"/>
      <c r="F63" s="209"/>
      <c r="G63" s="392"/>
      <c r="H63" s="1025"/>
      <c r="I63" s="1025"/>
      <c r="J63" s="1025"/>
      <c r="K63" s="1025"/>
    </row>
    <row r="64" spans="1:11">
      <c r="A64" s="388"/>
      <c r="B64" s="369" t="s">
        <v>334</v>
      </c>
      <c r="C64" s="369"/>
      <c r="D64" s="369"/>
      <c r="E64" s="369"/>
      <c r="F64" s="209"/>
      <c r="G64" s="392"/>
      <c r="H64" s="1025"/>
      <c r="I64" s="1025"/>
      <c r="J64" s="1025"/>
      <c r="K64" s="1025"/>
    </row>
    <row r="65" spans="1:11">
      <c r="A65" s="388"/>
      <c r="B65" s="369" t="s">
        <v>1289</v>
      </c>
      <c r="C65" s="369"/>
      <c r="D65" s="369"/>
      <c r="E65" s="369"/>
      <c r="F65" s="209"/>
      <c r="G65" s="392"/>
      <c r="H65" s="1025"/>
      <c r="I65" s="1025"/>
      <c r="J65" s="1025"/>
      <c r="K65" s="1025"/>
    </row>
    <row r="66" spans="1:11">
      <c r="A66" s="388"/>
      <c r="B66" s="369" t="s">
        <v>336</v>
      </c>
      <c r="C66" s="369"/>
      <c r="D66" s="369"/>
      <c r="E66" s="369"/>
      <c r="F66" s="209"/>
      <c r="G66" s="392"/>
      <c r="H66" s="1025"/>
      <c r="I66" s="1025"/>
      <c r="J66" s="1025"/>
      <c r="K66" s="1025"/>
    </row>
    <row r="67" spans="1:11">
      <c r="A67" s="388"/>
      <c r="B67" s="369" t="s">
        <v>1290</v>
      </c>
      <c r="C67" s="369"/>
      <c r="D67" s="369"/>
      <c r="E67" s="369"/>
      <c r="F67" s="209"/>
      <c r="G67" s="392"/>
      <c r="H67" s="1025"/>
      <c r="I67" s="1025"/>
      <c r="J67" s="1025"/>
      <c r="K67" s="1025"/>
    </row>
    <row r="68" spans="1:11">
      <c r="A68" s="388"/>
      <c r="B68" s="369" t="s">
        <v>1230</v>
      </c>
      <c r="C68" s="369"/>
      <c r="D68" s="369">
        <v>170</v>
      </c>
      <c r="E68" s="369"/>
      <c r="F68" s="209"/>
      <c r="G68" s="392"/>
      <c r="H68" s="1025"/>
      <c r="I68" s="1025"/>
      <c r="J68" s="1025"/>
      <c r="K68" s="1025"/>
    </row>
    <row r="69" spans="1:11">
      <c r="A69" s="388"/>
      <c r="B69" s="369" t="s">
        <v>1231</v>
      </c>
      <c r="C69" s="369"/>
      <c r="D69" s="369"/>
      <c r="E69" s="369"/>
      <c r="F69" s="209">
        <v>170</v>
      </c>
      <c r="G69" s="392"/>
      <c r="H69" s="1025"/>
      <c r="I69" s="1025"/>
      <c r="J69" s="1025"/>
      <c r="K69" s="1025"/>
    </row>
    <row r="70" spans="1:11">
      <c r="A70" s="388"/>
      <c r="B70" s="369"/>
      <c r="C70" s="369"/>
      <c r="D70" s="369"/>
      <c r="E70" s="369"/>
      <c r="F70" s="209"/>
      <c r="G70" s="392"/>
      <c r="H70" s="1025"/>
      <c r="I70" s="1025"/>
      <c r="J70" s="1025"/>
      <c r="K70" s="1025"/>
    </row>
    <row r="71" spans="1:11">
      <c r="A71" s="388"/>
      <c r="B71" s="369" t="s">
        <v>1232</v>
      </c>
      <c r="C71" s="369"/>
      <c r="D71" s="369">
        <v>170</v>
      </c>
      <c r="E71" s="369"/>
      <c r="F71" s="209"/>
      <c r="G71" s="392"/>
      <c r="H71" s="1025"/>
      <c r="I71" s="1025"/>
      <c r="J71" s="1025"/>
      <c r="K71" s="1025"/>
    </row>
    <row r="72" spans="1:11">
      <c r="A72" s="388"/>
      <c r="B72" s="369" t="s">
        <v>1233</v>
      </c>
      <c r="C72" s="369"/>
      <c r="D72" s="369">
        <v>-170</v>
      </c>
      <c r="E72" s="369"/>
      <c r="F72" s="209">
        <v>169.59</v>
      </c>
      <c r="G72" s="392"/>
      <c r="H72" s="1025"/>
      <c r="I72" s="1025"/>
      <c r="J72" s="1025"/>
      <c r="K72" s="1025"/>
    </row>
    <row r="73" spans="1:11" ht="13.5" thickBot="1">
      <c r="A73" s="388"/>
      <c r="B73" s="369" t="s">
        <v>1234</v>
      </c>
      <c r="C73" s="369"/>
      <c r="D73" s="1171">
        <f>SUM(D71:D72)</f>
        <v>0</v>
      </c>
      <c r="E73" s="369"/>
      <c r="F73" s="1171">
        <f>SUM(F71:F72)</f>
        <v>169.59</v>
      </c>
      <c r="G73" s="392"/>
      <c r="H73" s="1025"/>
      <c r="I73" s="1025"/>
      <c r="J73" s="1025"/>
      <c r="K73" s="1025"/>
    </row>
    <row r="74" spans="1:11" ht="13.5" thickTop="1">
      <c r="A74" s="388"/>
      <c r="B74" s="369"/>
      <c r="C74" s="369"/>
      <c r="D74" s="369"/>
      <c r="E74" s="369"/>
      <c r="F74" s="209"/>
      <c r="G74" s="392"/>
      <c r="H74" s="1025"/>
      <c r="I74" s="1025"/>
      <c r="J74" s="1025"/>
      <c r="K74" s="1025"/>
    </row>
    <row r="75" spans="1:11">
      <c r="A75" s="388"/>
      <c r="B75" s="369"/>
      <c r="C75" s="369"/>
      <c r="D75" s="369"/>
      <c r="E75" s="369"/>
      <c r="F75" s="209"/>
      <c r="G75" s="392"/>
      <c r="H75" s="1025"/>
      <c r="I75" s="1025"/>
      <c r="J75" s="1025"/>
      <c r="K75" s="1025"/>
    </row>
    <row r="76" spans="1:11">
      <c r="A76" s="388"/>
      <c r="B76" s="369"/>
      <c r="C76" s="369"/>
      <c r="D76" s="369"/>
      <c r="E76" s="369"/>
      <c r="F76" s="209"/>
      <c r="G76" s="392"/>
      <c r="H76" s="1025"/>
      <c r="I76" s="1025"/>
      <c r="J76" s="1025"/>
      <c r="K76" s="1025"/>
    </row>
    <row r="77" spans="1:11">
      <c r="A77" s="388"/>
      <c r="B77" s="369" t="s">
        <v>334</v>
      </c>
      <c r="C77" s="369"/>
      <c r="D77" s="369"/>
      <c r="E77" s="369"/>
      <c r="F77" s="209"/>
      <c r="G77" s="392"/>
      <c r="H77" s="1025"/>
      <c r="I77" s="1025"/>
      <c r="J77" s="1025"/>
      <c r="K77" s="1025"/>
    </row>
    <row r="78" spans="1:11">
      <c r="A78" s="388"/>
      <c r="B78" s="369" t="s">
        <v>1291</v>
      </c>
      <c r="C78" s="369"/>
      <c r="D78" s="369"/>
      <c r="E78" s="369"/>
      <c r="F78" s="209"/>
      <c r="G78" s="392"/>
      <c r="H78" s="1025"/>
      <c r="I78" s="1025"/>
      <c r="J78" s="1025"/>
      <c r="K78" s="1025"/>
    </row>
    <row r="79" spans="1:11">
      <c r="A79" s="388"/>
      <c r="B79" s="369" t="s">
        <v>336</v>
      </c>
      <c r="C79" s="369"/>
      <c r="D79" s="369"/>
      <c r="E79" s="369"/>
      <c r="F79" s="209"/>
      <c r="G79" s="392"/>
      <c r="H79" s="1025"/>
      <c r="I79" s="1025"/>
      <c r="J79" s="1025"/>
      <c r="K79" s="1025"/>
    </row>
    <row r="80" spans="1:11">
      <c r="A80" s="388"/>
      <c r="B80" s="369" t="s">
        <v>1292</v>
      </c>
      <c r="C80" s="369"/>
      <c r="D80" s="369"/>
      <c r="E80" s="369"/>
      <c r="F80" s="209"/>
      <c r="G80" s="392"/>
      <c r="H80" s="1025"/>
      <c r="I80" s="1025"/>
      <c r="J80" s="1025"/>
      <c r="K80" s="1025"/>
    </row>
    <row r="81" spans="1:11">
      <c r="A81" s="388"/>
      <c r="B81" s="369" t="s">
        <v>1230</v>
      </c>
      <c r="C81" s="369"/>
      <c r="D81" s="369">
        <v>3</v>
      </c>
      <c r="E81" s="369"/>
      <c r="F81" s="209">
        <v>0</v>
      </c>
      <c r="G81" s="392"/>
      <c r="H81" s="1025"/>
      <c r="I81" s="1025"/>
      <c r="J81" s="1025"/>
      <c r="K81" s="1025"/>
    </row>
    <row r="82" spans="1:11">
      <c r="A82" s="388"/>
      <c r="B82" s="369" t="s">
        <v>1231</v>
      </c>
      <c r="C82" s="369"/>
      <c r="D82" s="369"/>
      <c r="E82" s="369"/>
      <c r="F82" s="209">
        <v>3</v>
      </c>
      <c r="G82" s="392"/>
      <c r="H82" s="1025"/>
      <c r="I82" s="1025"/>
      <c r="J82" s="1025"/>
      <c r="K82" s="1025"/>
    </row>
    <row r="83" spans="1:11">
      <c r="A83" s="388"/>
      <c r="B83" s="369"/>
      <c r="C83" s="369"/>
      <c r="D83" s="369"/>
      <c r="E83" s="369"/>
      <c r="F83" s="209"/>
      <c r="G83" s="392"/>
      <c r="H83" s="1025"/>
      <c r="I83" s="1025"/>
      <c r="J83" s="1025"/>
      <c r="K83" s="1025"/>
    </row>
    <row r="84" spans="1:11">
      <c r="A84" s="388"/>
      <c r="B84" s="369" t="s">
        <v>1232</v>
      </c>
      <c r="C84" s="369"/>
      <c r="D84" s="369">
        <v>3</v>
      </c>
      <c r="E84" s="369"/>
      <c r="F84" s="209"/>
      <c r="G84" s="392"/>
      <c r="H84" s="1025"/>
      <c r="I84" s="1025"/>
      <c r="J84" s="1025"/>
      <c r="K84" s="1025"/>
    </row>
    <row r="85" spans="1:11">
      <c r="A85" s="388"/>
      <c r="B85" s="369" t="s">
        <v>1233</v>
      </c>
      <c r="C85" s="369"/>
      <c r="D85" s="369">
        <v>-3</v>
      </c>
      <c r="E85" s="369"/>
      <c r="F85" s="209">
        <v>3.11</v>
      </c>
      <c r="G85" s="392"/>
      <c r="H85" s="1025"/>
      <c r="I85" s="1025"/>
      <c r="J85" s="1025"/>
      <c r="K85" s="1025"/>
    </row>
    <row r="86" spans="1:11" ht="13.5" thickBot="1">
      <c r="A86" s="388"/>
      <c r="B86" s="369" t="s">
        <v>1234</v>
      </c>
      <c r="C86" s="369"/>
      <c r="D86" s="1171">
        <f>SUM(D84:D85)</f>
        <v>0</v>
      </c>
      <c r="E86" s="369"/>
      <c r="F86" s="1171">
        <f>SUM(F84:F85)</f>
        <v>3.11</v>
      </c>
      <c r="G86" s="392"/>
      <c r="H86" s="1025"/>
      <c r="I86" s="1025"/>
      <c r="J86" s="1025"/>
      <c r="K86" s="1025"/>
    </row>
    <row r="87" spans="1:11" ht="13.5" thickTop="1">
      <c r="A87" s="388"/>
      <c r="B87" s="369"/>
      <c r="C87" s="369"/>
      <c r="D87" s="369"/>
      <c r="E87" s="369"/>
      <c r="F87" s="209"/>
      <c r="G87" s="392"/>
      <c r="H87" s="1025"/>
      <c r="I87" s="1025"/>
      <c r="J87" s="1025"/>
      <c r="K87" s="1025"/>
    </row>
    <row r="88" spans="1:11">
      <c r="A88" s="388"/>
      <c r="B88" s="369"/>
      <c r="C88" s="369"/>
      <c r="D88" s="369"/>
      <c r="E88" s="369"/>
      <c r="F88" s="209"/>
      <c r="G88" s="392"/>
      <c r="H88" s="1025"/>
      <c r="I88" s="1025"/>
      <c r="J88" s="1025"/>
      <c r="K88" s="1025"/>
    </row>
    <row r="89" spans="1:11">
      <c r="A89" s="388"/>
      <c r="B89" s="369" t="s">
        <v>334</v>
      </c>
      <c r="C89" s="369"/>
      <c r="D89" s="369"/>
      <c r="E89" s="369"/>
      <c r="F89" s="209"/>
      <c r="G89" s="392"/>
      <c r="H89" s="1025"/>
      <c r="I89" s="1025"/>
      <c r="J89" s="1025"/>
      <c r="K89" s="1025"/>
    </row>
    <row r="90" spans="1:11">
      <c r="A90" s="388"/>
      <c r="B90" s="369" t="s">
        <v>1293</v>
      </c>
      <c r="C90" s="369"/>
      <c r="D90" s="369"/>
      <c r="E90" s="369"/>
      <c r="F90" s="209"/>
      <c r="G90" s="392"/>
      <c r="H90" s="1025"/>
      <c r="I90" s="1025"/>
      <c r="J90" s="1025"/>
      <c r="K90" s="1025"/>
    </row>
    <row r="91" spans="1:11">
      <c r="A91" s="388"/>
      <c r="B91" s="369" t="s">
        <v>336</v>
      </c>
      <c r="C91" s="369"/>
      <c r="D91" s="369"/>
      <c r="E91" s="369"/>
      <c r="F91" s="209"/>
      <c r="G91" s="392"/>
      <c r="H91" s="1025"/>
      <c r="I91" s="1025"/>
      <c r="J91" s="1025"/>
      <c r="K91" s="1025"/>
    </row>
    <row r="92" spans="1:11">
      <c r="A92" s="388"/>
      <c r="B92" s="369" t="s">
        <v>1294</v>
      </c>
      <c r="C92" s="369"/>
      <c r="D92" s="369"/>
      <c r="E92" s="369"/>
      <c r="F92" s="209"/>
      <c r="G92" s="392"/>
      <c r="H92" s="1025"/>
      <c r="I92" s="1025"/>
      <c r="J92" s="1025"/>
      <c r="K92" s="1025"/>
    </row>
    <row r="93" spans="1:11">
      <c r="A93" s="388"/>
      <c r="B93" s="369" t="s">
        <v>1230</v>
      </c>
      <c r="C93" s="369"/>
      <c r="D93" s="369">
        <v>8671</v>
      </c>
      <c r="E93" s="369"/>
      <c r="F93" s="209">
        <v>0</v>
      </c>
      <c r="G93" s="392"/>
      <c r="H93" s="1025"/>
      <c r="I93" s="1025"/>
      <c r="J93" s="1025"/>
      <c r="K93" s="1025"/>
    </row>
    <row r="94" spans="1:11">
      <c r="A94" s="388"/>
      <c r="B94" s="369" t="s">
        <v>1231</v>
      </c>
      <c r="C94" s="369"/>
      <c r="D94" s="369"/>
      <c r="E94" s="369"/>
      <c r="F94" s="209">
        <v>8671</v>
      </c>
      <c r="G94" s="392"/>
      <c r="H94" s="1025"/>
      <c r="I94" s="1025"/>
      <c r="J94" s="1025"/>
      <c r="K94" s="1025"/>
    </row>
    <row r="95" spans="1:11">
      <c r="A95" s="388"/>
      <c r="B95" s="369"/>
      <c r="C95" s="369"/>
      <c r="D95" s="369"/>
      <c r="E95" s="369"/>
      <c r="F95" s="209"/>
      <c r="G95" s="392"/>
      <c r="H95" s="1025"/>
      <c r="I95" s="1025"/>
      <c r="J95" s="1025"/>
      <c r="K95" s="1025"/>
    </row>
    <row r="96" spans="1:11">
      <c r="A96" s="388"/>
      <c r="B96" s="369" t="s">
        <v>1232</v>
      </c>
      <c r="C96" s="369"/>
      <c r="D96" s="369">
        <v>8671</v>
      </c>
      <c r="E96" s="369"/>
      <c r="F96" s="209"/>
      <c r="G96" s="392"/>
      <c r="H96" s="1025"/>
      <c r="I96" s="1025"/>
      <c r="J96" s="1025"/>
      <c r="K96" s="1025"/>
    </row>
    <row r="97" spans="1:11">
      <c r="A97" s="388"/>
      <c r="B97" s="369" t="s">
        <v>1233</v>
      </c>
      <c r="C97" s="369"/>
      <c r="D97" s="369">
        <v>-8671</v>
      </c>
      <c r="E97" s="369"/>
      <c r="F97" s="209">
        <v>8671</v>
      </c>
      <c r="G97" s="392"/>
      <c r="H97" s="1025"/>
      <c r="I97" s="1025"/>
      <c r="J97" s="1025"/>
      <c r="K97" s="1025"/>
    </row>
    <row r="98" spans="1:11" ht="13.5" thickBot="1">
      <c r="A98" s="388"/>
      <c r="B98" s="369" t="s">
        <v>1234</v>
      </c>
      <c r="C98" s="369"/>
      <c r="D98" s="1171">
        <v>0</v>
      </c>
      <c r="E98" s="369"/>
      <c r="F98" s="1171">
        <v>8671</v>
      </c>
      <c r="G98" s="392"/>
      <c r="H98" s="1025"/>
      <c r="I98" s="1025"/>
      <c r="J98" s="1025"/>
      <c r="K98" s="1025"/>
    </row>
    <row r="99" spans="1:11" ht="13.5" thickTop="1">
      <c r="A99" s="388"/>
      <c r="B99" s="369"/>
      <c r="C99" s="369"/>
      <c r="D99" s="369"/>
      <c r="E99" s="369"/>
      <c r="F99" s="209"/>
      <c r="G99" s="392"/>
      <c r="H99" s="1025"/>
      <c r="I99" s="1025"/>
      <c r="J99" s="1025"/>
      <c r="K99" s="1025"/>
    </row>
    <row r="100" spans="1:11">
      <c r="A100" s="388"/>
      <c r="B100" s="369"/>
      <c r="C100" s="369"/>
      <c r="D100" s="369"/>
      <c r="E100" s="369"/>
      <c r="F100" s="209"/>
      <c r="G100" s="392"/>
      <c r="H100" s="1025"/>
      <c r="I100" s="1025"/>
      <c r="J100" s="1025"/>
      <c r="K100" s="1025"/>
    </row>
    <row r="101" spans="1:11">
      <c r="A101" s="388"/>
      <c r="B101" s="369" t="s">
        <v>334</v>
      </c>
      <c r="C101" s="369"/>
      <c r="D101" s="369"/>
      <c r="E101" s="369"/>
      <c r="F101" s="209"/>
      <c r="G101" s="392"/>
      <c r="H101" s="1025"/>
      <c r="I101" s="1025"/>
      <c r="J101" s="1025"/>
      <c r="K101" s="1025"/>
    </row>
    <row r="102" spans="1:11">
      <c r="A102" s="388"/>
      <c r="B102" s="369" t="s">
        <v>1717</v>
      </c>
      <c r="C102" s="369"/>
      <c r="D102" s="369"/>
      <c r="E102" s="369"/>
      <c r="F102" s="209"/>
      <c r="G102" s="392"/>
      <c r="H102" s="1025"/>
      <c r="I102" s="1025"/>
      <c r="J102" s="1025"/>
      <c r="K102" s="1025"/>
    </row>
    <row r="103" spans="1:11">
      <c r="A103" s="388"/>
      <c r="B103" s="369" t="s">
        <v>1718</v>
      </c>
      <c r="C103" s="369"/>
      <c r="D103" s="369"/>
      <c r="E103" s="369"/>
      <c r="F103" s="209"/>
      <c r="G103" s="392"/>
      <c r="H103" s="1025"/>
      <c r="I103" s="1025"/>
      <c r="J103" s="1025"/>
      <c r="K103" s="1025"/>
    </row>
    <row r="104" spans="1:11">
      <c r="A104" s="388"/>
      <c r="B104" s="369" t="s">
        <v>1719</v>
      </c>
      <c r="C104" s="369"/>
      <c r="D104" s="369"/>
      <c r="E104" s="369"/>
      <c r="F104" s="209"/>
      <c r="G104" s="392"/>
      <c r="H104" s="1025"/>
      <c r="I104" s="1025"/>
      <c r="J104" s="1025"/>
      <c r="K104" s="1025"/>
    </row>
    <row r="105" spans="1:11">
      <c r="A105" s="388"/>
      <c r="B105" s="369" t="s">
        <v>1230</v>
      </c>
      <c r="C105" s="369"/>
      <c r="D105" s="209">
        <v>54</v>
      </c>
      <c r="E105" s="369"/>
      <c r="F105" s="209">
        <v>0</v>
      </c>
      <c r="G105" s="392"/>
      <c r="H105" s="1025"/>
      <c r="I105" s="1025"/>
      <c r="J105" s="1025"/>
      <c r="K105" s="1025"/>
    </row>
    <row r="106" spans="1:11">
      <c r="A106" s="388"/>
      <c r="B106" s="369" t="s">
        <v>1231</v>
      </c>
      <c r="C106" s="369"/>
      <c r="D106" s="209"/>
      <c r="E106" s="369"/>
      <c r="F106" s="209">
        <v>54.17</v>
      </c>
      <c r="G106" s="392"/>
      <c r="H106" s="1025"/>
      <c r="I106" s="1025"/>
      <c r="J106" s="1025"/>
      <c r="K106" s="1025"/>
    </row>
    <row r="107" spans="1:11">
      <c r="A107" s="388"/>
      <c r="B107" s="369"/>
      <c r="C107" s="369"/>
      <c r="D107" s="209"/>
      <c r="E107" s="369"/>
      <c r="F107" s="209">
        <v>0</v>
      </c>
      <c r="G107" s="392"/>
      <c r="H107" s="1025"/>
      <c r="I107" s="1025"/>
      <c r="J107" s="1025"/>
      <c r="K107" s="1025"/>
    </row>
    <row r="108" spans="1:11">
      <c r="A108" s="388"/>
      <c r="B108" s="369" t="s">
        <v>1232</v>
      </c>
      <c r="C108" s="369"/>
      <c r="D108" s="209">
        <v>54</v>
      </c>
      <c r="E108" s="369"/>
      <c r="F108" s="209"/>
      <c r="G108" s="392"/>
      <c r="H108" s="1025"/>
      <c r="I108" s="1025"/>
      <c r="J108" s="1025"/>
      <c r="K108" s="1025"/>
    </row>
    <row r="109" spans="1:11">
      <c r="A109" s="388"/>
      <c r="B109" s="369" t="s">
        <v>1233</v>
      </c>
      <c r="C109" s="369"/>
      <c r="D109" s="209">
        <v>-54</v>
      </c>
      <c r="E109" s="369"/>
      <c r="F109" s="209"/>
      <c r="G109" s="392"/>
      <c r="H109" s="1025"/>
      <c r="I109" s="1025"/>
      <c r="J109" s="1025"/>
      <c r="K109" s="1025"/>
    </row>
    <row r="110" spans="1:11" ht="13.5" thickBot="1">
      <c r="A110" s="388"/>
      <c r="B110" s="369" t="s">
        <v>1234</v>
      </c>
      <c r="C110" s="369"/>
      <c r="D110" s="618">
        <f>SUM(D108:D109)</f>
        <v>0</v>
      </c>
      <c r="E110" s="369"/>
      <c r="F110" s="618">
        <f>SUM(F105:F109)</f>
        <v>54.17</v>
      </c>
      <c r="G110" s="392"/>
      <c r="H110" s="1025"/>
      <c r="I110" s="1025"/>
      <c r="J110" s="1025"/>
      <c r="K110" s="1025"/>
    </row>
    <row r="111" spans="1:11" ht="13.5" thickTop="1">
      <c r="A111" s="388"/>
      <c r="B111" s="369"/>
      <c r="C111" s="369"/>
      <c r="D111" s="369"/>
      <c r="E111" s="369"/>
      <c r="F111" s="209"/>
      <c r="G111" s="392"/>
      <c r="H111" s="1025"/>
      <c r="I111" s="1025"/>
      <c r="J111" s="1025"/>
      <c r="K111" s="1025"/>
    </row>
    <row r="112" spans="1:11">
      <c r="A112" s="388"/>
      <c r="B112" s="369"/>
      <c r="C112" s="369"/>
      <c r="D112" s="369"/>
      <c r="E112" s="369"/>
      <c r="F112" s="209"/>
      <c r="G112" s="392"/>
      <c r="H112" s="1025"/>
      <c r="I112" s="1025"/>
      <c r="J112" s="1025"/>
      <c r="K112" s="1025"/>
    </row>
    <row r="113" spans="1:12">
      <c r="A113" s="388"/>
      <c r="B113" s="369"/>
      <c r="C113" s="369"/>
      <c r="D113" s="369"/>
      <c r="E113" s="369"/>
      <c r="F113" s="209"/>
      <c r="G113" s="392"/>
      <c r="H113" s="1025"/>
      <c r="I113" s="1025"/>
      <c r="J113" s="1025"/>
      <c r="K113" s="1025"/>
    </row>
    <row r="114" spans="1:12">
      <c r="A114" s="388"/>
      <c r="B114" s="369" t="s">
        <v>334</v>
      </c>
      <c r="C114" s="369"/>
      <c r="D114" s="369"/>
      <c r="E114" s="369"/>
      <c r="F114" s="209"/>
      <c r="G114" s="392"/>
      <c r="H114" s="1025"/>
      <c r="I114" s="1025"/>
      <c r="J114" s="1025"/>
      <c r="K114" s="1025"/>
    </row>
    <row r="115" spans="1:12">
      <c r="A115" s="388"/>
      <c r="B115" s="369" t="s">
        <v>1862</v>
      </c>
      <c r="C115" s="369"/>
      <c r="D115" s="369"/>
      <c r="E115" s="369"/>
      <c r="F115" s="209"/>
      <c r="G115" s="392"/>
      <c r="H115" s="1025"/>
      <c r="I115" s="1025"/>
      <c r="J115" s="1025"/>
      <c r="K115" s="1025"/>
    </row>
    <row r="116" spans="1:12">
      <c r="A116" s="388"/>
      <c r="B116" s="369" t="s">
        <v>1863</v>
      </c>
      <c r="C116" s="369"/>
      <c r="D116" s="369"/>
      <c r="E116" s="369"/>
      <c r="F116" s="209"/>
      <c r="G116" s="392"/>
      <c r="H116" s="1025"/>
      <c r="I116" s="1025"/>
      <c r="J116" s="1025"/>
      <c r="K116" s="1025"/>
    </row>
    <row r="117" spans="1:12">
      <c r="A117" s="388"/>
      <c r="B117" s="369" t="s">
        <v>1719</v>
      </c>
      <c r="C117" s="369"/>
      <c r="D117" s="369"/>
      <c r="E117" s="369"/>
      <c r="F117" s="209"/>
      <c r="G117" s="392"/>
      <c r="H117" s="1025"/>
      <c r="I117" s="1025"/>
      <c r="J117" s="1025"/>
      <c r="K117" s="1025"/>
    </row>
    <row r="118" spans="1:12">
      <c r="A118" s="388"/>
      <c r="B118" s="369" t="s">
        <v>1230</v>
      </c>
      <c r="C118" s="369"/>
      <c r="D118" s="209">
        <v>6562</v>
      </c>
      <c r="E118" s="369"/>
      <c r="F118" s="209">
        <v>0</v>
      </c>
      <c r="G118" s="392"/>
      <c r="H118" s="1025"/>
      <c r="I118" s="1025"/>
      <c r="J118" s="1025"/>
      <c r="K118" s="1025"/>
    </row>
    <row r="119" spans="1:12">
      <c r="A119" s="388"/>
      <c r="B119" s="369" t="s">
        <v>1231</v>
      </c>
      <c r="C119" s="369"/>
      <c r="D119" s="209">
        <v>4349.62</v>
      </c>
      <c r="E119" s="369"/>
      <c r="F119" s="209">
        <v>6561.57</v>
      </c>
      <c r="G119" s="392"/>
      <c r="H119" s="1025"/>
      <c r="I119" s="1025"/>
      <c r="J119" s="1025"/>
      <c r="K119" s="1025"/>
    </row>
    <row r="120" spans="1:12">
      <c r="A120" s="388"/>
      <c r="B120" s="369"/>
      <c r="C120" s="369"/>
      <c r="D120" s="369"/>
      <c r="E120" s="369"/>
      <c r="F120" s="209">
        <v>0</v>
      </c>
      <c r="G120" s="392"/>
      <c r="H120" s="1025"/>
      <c r="I120" s="1025"/>
      <c r="J120" s="1025"/>
      <c r="K120" s="1025"/>
    </row>
    <row r="121" spans="1:12">
      <c r="A121" s="388"/>
      <c r="B121" s="369" t="s">
        <v>1232</v>
      </c>
      <c r="C121" s="369"/>
      <c r="D121" s="209">
        <v>6562</v>
      </c>
      <c r="E121" s="369"/>
      <c r="F121" s="209"/>
      <c r="G121" s="392"/>
      <c r="H121" s="1025"/>
      <c r="I121" s="1025"/>
      <c r="J121" s="1025"/>
      <c r="K121" s="1025"/>
    </row>
    <row r="122" spans="1:12">
      <c r="A122" s="388"/>
      <c r="B122" s="369" t="s">
        <v>1233</v>
      </c>
      <c r="C122" s="369"/>
      <c r="D122" s="209">
        <v>-2212.92</v>
      </c>
      <c r="E122" s="369"/>
      <c r="F122" s="209"/>
      <c r="G122" s="392"/>
      <c r="H122" s="1025"/>
      <c r="I122" s="1025"/>
      <c r="J122" s="1025"/>
      <c r="K122" s="1025"/>
    </row>
    <row r="123" spans="1:12" ht="13.5" thickBot="1">
      <c r="A123" s="388"/>
      <c r="B123" s="369" t="s">
        <v>1234</v>
      </c>
      <c r="C123" s="369"/>
      <c r="D123" s="618">
        <f>SUM(D121:D122)</f>
        <v>4349.08</v>
      </c>
      <c r="E123" s="369"/>
      <c r="F123" s="618">
        <f>SUM(F119:F122)</f>
        <v>6561.57</v>
      </c>
      <c r="G123" s="392"/>
      <c r="H123" s="1025"/>
      <c r="I123" s="1025"/>
      <c r="J123" s="1025"/>
      <c r="K123" s="1025"/>
    </row>
    <row r="124" spans="1:12" ht="13.5" thickTop="1">
      <c r="A124" s="388"/>
      <c r="B124" s="369"/>
      <c r="C124" s="369"/>
      <c r="D124" s="369"/>
      <c r="E124" s="369"/>
      <c r="F124" s="209"/>
      <c r="G124" s="392"/>
      <c r="H124" s="1025"/>
      <c r="I124" s="1025"/>
      <c r="J124" s="1025"/>
      <c r="K124" s="1025"/>
      <c r="L124" s="956"/>
    </row>
    <row r="125" spans="1:12">
      <c r="A125" s="388"/>
      <c r="B125" s="369"/>
      <c r="C125" s="369"/>
      <c r="D125" s="369"/>
      <c r="E125" s="369"/>
      <c r="F125" s="209"/>
      <c r="G125" s="392"/>
      <c r="H125" s="1025"/>
      <c r="I125" s="1025"/>
      <c r="J125" s="1025"/>
      <c r="K125" s="1025"/>
    </row>
    <row r="126" spans="1:12">
      <c r="A126" s="388"/>
      <c r="B126" s="369" t="s">
        <v>1230</v>
      </c>
      <c r="C126" s="369"/>
      <c r="D126" s="209">
        <v>1105974</v>
      </c>
      <c r="E126" s="369"/>
      <c r="F126" s="209">
        <v>1013275</v>
      </c>
      <c r="G126" s="392"/>
      <c r="H126" s="1025"/>
      <c r="I126" s="1025"/>
      <c r="J126" s="1025"/>
      <c r="K126" s="1025"/>
    </row>
    <row r="127" spans="1:12">
      <c r="A127" s="388"/>
      <c r="B127" s="369" t="s">
        <v>1231</v>
      </c>
      <c r="C127" s="369"/>
      <c r="D127" s="129">
        <f>'main TB'!R141</f>
        <v>6107149.3299999982</v>
      </c>
      <c r="E127" s="369"/>
      <c r="F127" s="129">
        <f>'main TB'!O141</f>
        <v>1105974.17</v>
      </c>
      <c r="G127" s="392"/>
      <c r="H127" s="1025"/>
      <c r="I127" s="1025"/>
      <c r="J127" s="1025"/>
      <c r="K127" s="1025"/>
    </row>
    <row r="128" spans="1:12">
      <c r="A128" s="388"/>
      <c r="B128" s="369"/>
      <c r="C128" s="369"/>
      <c r="D128" s="369"/>
      <c r="E128" s="369"/>
      <c r="F128" s="209"/>
      <c r="G128" s="389"/>
      <c r="H128" s="369"/>
      <c r="I128" s="369"/>
      <c r="J128" s="369"/>
      <c r="K128" s="369"/>
    </row>
    <row r="129" spans="1:11" ht="25.5">
      <c r="A129" s="388"/>
      <c r="B129" s="218" t="s">
        <v>1235</v>
      </c>
      <c r="C129" s="218"/>
      <c r="D129" s="218"/>
      <c r="E129" s="218"/>
      <c r="F129" s="330"/>
      <c r="G129" s="392"/>
      <c r="H129" s="1025"/>
      <c r="I129" s="1025"/>
      <c r="J129" s="1025"/>
      <c r="K129" s="1025"/>
    </row>
    <row r="130" spans="1:11" ht="13.5" thickBot="1">
      <c r="A130" s="620"/>
      <c r="B130" s="419"/>
      <c r="C130" s="419"/>
      <c r="D130" s="419"/>
      <c r="E130" s="419"/>
      <c r="F130" s="619"/>
      <c r="G130" s="420"/>
      <c r="H130" s="1025"/>
      <c r="I130" s="1025"/>
      <c r="J130" s="1025"/>
      <c r="K130" s="1025"/>
    </row>
    <row r="131" spans="1:11">
      <c r="A131" s="363"/>
    </row>
    <row r="132" spans="1:11">
      <c r="A132" s="363"/>
    </row>
    <row r="133" spans="1:11">
      <c r="A133" s="363"/>
    </row>
    <row r="134" spans="1:11">
      <c r="A134" s="363"/>
    </row>
    <row r="135" spans="1:11">
      <c r="A135" s="363"/>
    </row>
    <row r="136" spans="1:11">
      <c r="A136" s="363"/>
    </row>
    <row r="137" spans="1:11">
      <c r="A137" s="363"/>
    </row>
    <row r="138" spans="1:11">
      <c r="A138" s="363"/>
    </row>
    <row r="139" spans="1:11">
      <c r="A139" s="363"/>
    </row>
    <row r="140" spans="1:11">
      <c r="A140" s="363"/>
    </row>
    <row r="141" spans="1:11">
      <c r="A141" s="363"/>
    </row>
    <row r="142" spans="1:11">
      <c r="A142" s="363"/>
    </row>
    <row r="143" spans="1:11">
      <c r="A143" s="363"/>
    </row>
  </sheetData>
  <mergeCells count="2">
    <mergeCell ref="A1:G1"/>
    <mergeCell ref="A2:G2"/>
  </mergeCells>
  <phoneticPr fontId="0" type="noConversion"/>
  <printOptions horizontalCentered="1"/>
  <pageMargins left="0.6692913385826772" right="0.39370078740157483" top="0.98425196850393704" bottom="0.98425196850393704" header="0.51181102362204722" footer="0.51181102362204722"/>
  <pageSetup scale="72" fitToHeight="2" orientation="portrait" r:id="rId1"/>
  <headerFooter>
    <oddHeader>&amp;C FINANCIAL STATEMENTS: MUSINA LOCAL MUNICIPALITY</oddHeader>
    <oddFooter>&amp;RPage &amp;P</oddFooter>
  </headerFooter>
  <rowBreaks count="1" manualBreakCount="1">
    <brk id="61" max="6" man="1"/>
  </rowBreaks>
</worksheet>
</file>

<file path=xl/worksheets/sheet18.xml><?xml version="1.0" encoding="utf-8"?>
<worksheet xmlns="http://schemas.openxmlformats.org/spreadsheetml/2006/main" xmlns:r="http://schemas.openxmlformats.org/officeDocument/2006/relationships">
  <dimension ref="A1:CZ663"/>
  <sheetViews>
    <sheetView view="pageBreakPreview" topLeftCell="A460" zoomScale="99" zoomScaleSheetLayoutView="99" workbookViewId="0">
      <selection activeCell="J480" sqref="J480"/>
    </sheetView>
  </sheetViews>
  <sheetFormatPr defaultRowHeight="12.75"/>
  <cols>
    <col min="1" max="1" width="5" style="1597" bestFit="1" customWidth="1"/>
    <col min="2" max="2" width="57" style="313" bestFit="1" customWidth="1"/>
    <col min="3" max="3" width="4.28515625" style="313" customWidth="1"/>
    <col min="4" max="4" width="17.7109375" style="334" customWidth="1"/>
    <col min="5" max="5" width="4.28515625" style="313" customWidth="1"/>
    <col min="6" max="6" width="14.7109375" style="334" customWidth="1"/>
    <col min="7" max="7" width="2.28515625" style="313" customWidth="1"/>
    <col min="8" max="8" width="6.140625" style="316" bestFit="1" customWidth="1"/>
    <col min="9" max="9" width="9.7109375" style="1594" bestFit="1" customWidth="1"/>
    <col min="10" max="14" width="26.28515625" style="1594" customWidth="1"/>
    <col min="15" max="16" width="2.28515625" style="1594" customWidth="1"/>
    <col min="17" max="17" width="20.5703125" style="334" bestFit="1" customWidth="1"/>
    <col min="18" max="18" width="2.28515625" style="313" customWidth="1"/>
    <col min="19" max="20" width="2.28515625" style="313" hidden="1" customWidth="1"/>
    <col min="21" max="21" width="16.85546875" style="334" hidden="1" customWidth="1"/>
    <col min="22" max="22" width="2.28515625" style="313" hidden="1" customWidth="1"/>
    <col min="23" max="23" width="14.42578125" style="334" customWidth="1"/>
    <col min="24" max="24" width="14.5703125" style="334" bestFit="1" customWidth="1"/>
    <col min="25" max="25" width="13.5703125" style="334" bestFit="1" customWidth="1"/>
    <col min="26" max="26" width="17.5703125" style="334" customWidth="1"/>
    <col min="27" max="27" width="52.85546875" style="313" bestFit="1" customWidth="1"/>
    <col min="28" max="28" width="17.140625" style="313" bestFit="1" customWidth="1"/>
    <col min="29" max="29" width="15.85546875" style="334" bestFit="1" customWidth="1"/>
    <col min="30" max="30" width="15.85546875" style="313" bestFit="1" customWidth="1"/>
    <col min="31" max="16384" width="9.140625" style="313"/>
  </cols>
  <sheetData>
    <row r="1" spans="1:104" ht="15.75" customHeight="1" thickTop="1">
      <c r="A1" s="1662" t="s">
        <v>1349</v>
      </c>
      <c r="B1" s="1663"/>
      <c r="C1" s="1663"/>
      <c r="D1" s="1663"/>
      <c r="E1" s="1663"/>
      <c r="F1" s="1663"/>
      <c r="G1" s="1663"/>
      <c r="H1" s="184"/>
      <c r="I1" s="1585"/>
      <c r="J1" s="1585"/>
      <c r="K1" s="1585"/>
      <c r="L1" s="1585"/>
      <c r="M1" s="1585"/>
      <c r="N1" s="1585"/>
      <c r="O1" s="1585"/>
      <c r="P1" s="1585"/>
      <c r="Q1" s="1596"/>
      <c r="R1" s="1596"/>
      <c r="S1" s="1596"/>
      <c r="T1" s="1596"/>
      <c r="U1" s="293"/>
      <c r="V1" s="1583"/>
      <c r="W1" s="317"/>
      <c r="X1" s="317"/>
      <c r="Y1" s="317"/>
      <c r="Z1" s="317"/>
      <c r="AA1" s="1594"/>
      <c r="AB1" s="1594"/>
      <c r="AC1" s="317"/>
      <c r="AD1" s="1594"/>
      <c r="AE1" s="1594"/>
      <c r="AF1" s="1594"/>
      <c r="AG1" s="1594"/>
      <c r="AH1" s="1594"/>
      <c r="AI1" s="1594"/>
      <c r="AJ1" s="1594"/>
      <c r="AK1" s="1594"/>
      <c r="AL1" s="1594"/>
      <c r="AM1" s="1594"/>
      <c r="AN1" s="1594"/>
      <c r="AO1" s="1594"/>
      <c r="AP1" s="1594"/>
      <c r="AQ1" s="1594"/>
      <c r="AR1" s="1594"/>
      <c r="AS1" s="1594"/>
      <c r="AT1" s="1594"/>
      <c r="AU1" s="1594"/>
      <c r="AV1" s="1594"/>
      <c r="AW1" s="1594"/>
      <c r="AX1" s="1594"/>
      <c r="AY1" s="1594"/>
      <c r="AZ1" s="1594"/>
      <c r="BA1" s="1594"/>
      <c r="BB1" s="1594"/>
      <c r="BC1" s="1594"/>
      <c r="BD1" s="1594"/>
      <c r="BE1" s="1594"/>
      <c r="BF1" s="1594"/>
      <c r="BG1" s="1594"/>
      <c r="BH1" s="1594"/>
      <c r="BI1" s="1594"/>
      <c r="BJ1" s="1594"/>
      <c r="BK1" s="1594"/>
      <c r="BL1" s="1594"/>
      <c r="BM1" s="1594"/>
      <c r="BN1" s="1594"/>
      <c r="BO1" s="1594"/>
      <c r="BP1" s="1594"/>
      <c r="BQ1" s="1594"/>
      <c r="BR1" s="1594"/>
      <c r="BS1" s="1594"/>
      <c r="BT1" s="1594"/>
      <c r="BU1" s="1594"/>
      <c r="BV1" s="1594"/>
      <c r="BW1" s="1594"/>
      <c r="BX1" s="1594"/>
      <c r="BY1" s="1594"/>
      <c r="BZ1" s="1594"/>
      <c r="CA1" s="1594"/>
      <c r="CB1" s="1594"/>
      <c r="CC1" s="1594"/>
      <c r="CD1" s="1594"/>
      <c r="CE1" s="1594"/>
      <c r="CF1" s="1594"/>
      <c r="CG1" s="1594"/>
      <c r="CH1" s="1594"/>
      <c r="CI1" s="1594"/>
      <c r="CJ1" s="1594"/>
      <c r="CK1" s="1594"/>
      <c r="CL1" s="1594"/>
      <c r="CM1" s="1594"/>
      <c r="CN1" s="1594"/>
      <c r="CO1" s="1594"/>
      <c r="CP1" s="1594"/>
      <c r="CQ1" s="1594"/>
      <c r="CR1" s="1594"/>
      <c r="CS1" s="1594"/>
      <c r="CT1" s="1594"/>
      <c r="CU1" s="1594"/>
      <c r="CV1" s="1594"/>
      <c r="CW1" s="1594"/>
      <c r="CX1" s="1594"/>
      <c r="CY1" s="1594"/>
      <c r="CZ1" s="1594"/>
    </row>
    <row r="2" spans="1:104">
      <c r="A2" s="1709" t="s">
        <v>2075</v>
      </c>
      <c r="B2" s="1695"/>
      <c r="C2" s="1695"/>
      <c r="D2" s="1695"/>
      <c r="E2" s="1695"/>
      <c r="F2" s="1695"/>
      <c r="G2" s="1695"/>
      <c r="H2" s="1029"/>
      <c r="I2" s="1588"/>
      <c r="J2" s="1588"/>
      <c r="K2" s="1588"/>
      <c r="L2" s="1588"/>
      <c r="M2" s="1588"/>
      <c r="N2" s="1588"/>
      <c r="O2" s="1588"/>
      <c r="P2" s="1588"/>
      <c r="Q2" s="1588"/>
      <c r="R2" s="1588"/>
      <c r="S2" s="1588"/>
      <c r="T2" s="1588"/>
      <c r="U2" s="294"/>
      <c r="V2" s="1602"/>
      <c r="W2" s="317"/>
      <c r="X2" s="317"/>
      <c r="Y2" s="317"/>
      <c r="Z2" s="317"/>
      <c r="AA2" s="1594"/>
      <c r="AB2" s="1594"/>
      <c r="AC2" s="317"/>
      <c r="AD2" s="1594"/>
      <c r="AE2" s="1594"/>
      <c r="AF2" s="1594"/>
      <c r="AG2" s="1594"/>
      <c r="AH2" s="1594"/>
      <c r="AI2" s="1594"/>
      <c r="AJ2" s="1594"/>
      <c r="AK2" s="1594"/>
      <c r="AL2" s="1594"/>
      <c r="AM2" s="1594"/>
      <c r="AN2" s="1594"/>
      <c r="AO2" s="1594"/>
      <c r="AP2" s="1594"/>
      <c r="AQ2" s="1594"/>
      <c r="AR2" s="1594"/>
      <c r="AS2" s="1594"/>
      <c r="AT2" s="1594"/>
      <c r="AU2" s="1594"/>
      <c r="AV2" s="1594"/>
      <c r="AW2" s="1594"/>
      <c r="AX2" s="1594"/>
      <c r="AY2" s="1594"/>
      <c r="AZ2" s="1594"/>
      <c r="BA2" s="1594"/>
      <c r="BB2" s="1594"/>
      <c r="BC2" s="1594"/>
      <c r="BD2" s="1594"/>
      <c r="BE2" s="1594"/>
      <c r="BF2" s="1594"/>
      <c r="BG2" s="1594"/>
      <c r="BH2" s="1594"/>
      <c r="BI2" s="1594"/>
      <c r="BJ2" s="1594"/>
      <c r="BK2" s="1594"/>
      <c r="BL2" s="1594"/>
      <c r="BM2" s="1594"/>
      <c r="BN2" s="1594"/>
      <c r="BO2" s="1594"/>
      <c r="BP2" s="1594"/>
      <c r="BQ2" s="1594"/>
      <c r="BR2" s="1594"/>
      <c r="BS2" s="1594"/>
      <c r="BT2" s="1594"/>
      <c r="BU2" s="1594"/>
      <c r="BV2" s="1594"/>
      <c r="BW2" s="1594"/>
      <c r="BX2" s="1594"/>
      <c r="BY2" s="1594"/>
      <c r="BZ2" s="1594"/>
      <c r="CA2" s="1594"/>
      <c r="CB2" s="1594"/>
      <c r="CC2" s="1594"/>
      <c r="CD2" s="1594"/>
      <c r="CE2" s="1594"/>
      <c r="CF2" s="1594"/>
      <c r="CG2" s="1594"/>
      <c r="CH2" s="1594"/>
      <c r="CI2" s="1594"/>
      <c r="CJ2" s="1594"/>
      <c r="CK2" s="1594"/>
      <c r="CL2" s="1594"/>
      <c r="CM2" s="1594"/>
      <c r="CN2" s="1594"/>
      <c r="CO2" s="1594"/>
      <c r="CP2" s="1594"/>
      <c r="CQ2" s="1594"/>
      <c r="CR2" s="1594"/>
      <c r="CS2" s="1594"/>
      <c r="CT2" s="1594"/>
      <c r="CU2" s="1594"/>
      <c r="CV2" s="1594"/>
      <c r="CW2" s="1594"/>
      <c r="CX2" s="1594"/>
      <c r="CY2" s="1594"/>
      <c r="CZ2" s="1594"/>
    </row>
    <row r="3" spans="1:104">
      <c r="A3" s="1584"/>
      <c r="B3" s="1594"/>
      <c r="C3" s="1594"/>
      <c r="D3" s="317"/>
      <c r="E3" s="1594"/>
      <c r="F3" s="317"/>
      <c r="G3" s="1594"/>
      <c r="Q3" s="317"/>
      <c r="R3" s="1594"/>
      <c r="S3" s="1594"/>
      <c r="T3" s="1594"/>
      <c r="U3" s="621"/>
      <c r="V3" s="499"/>
      <c r="W3" s="317"/>
      <c r="X3" s="317"/>
      <c r="Y3" s="317"/>
      <c r="Z3" s="317"/>
      <c r="AA3" s="1594"/>
      <c r="AB3" s="1594"/>
      <c r="AC3" s="317"/>
      <c r="AD3" s="1594"/>
      <c r="AE3" s="1594"/>
      <c r="AF3" s="1594"/>
      <c r="AG3" s="1594"/>
      <c r="AH3" s="1594"/>
      <c r="AI3" s="1594"/>
      <c r="AJ3" s="1594"/>
      <c r="AK3" s="1594"/>
      <c r="AL3" s="1594"/>
      <c r="AM3" s="1594"/>
      <c r="AN3" s="1594"/>
      <c r="AO3" s="1594"/>
      <c r="AP3" s="1594"/>
      <c r="AQ3" s="1594"/>
      <c r="AR3" s="1594"/>
      <c r="AS3" s="1594"/>
      <c r="AT3" s="1594"/>
      <c r="AU3" s="1594"/>
      <c r="AV3" s="1594"/>
      <c r="AW3" s="1594"/>
      <c r="AX3" s="1594"/>
      <c r="AY3" s="1594"/>
      <c r="AZ3" s="1594"/>
      <c r="BA3" s="1594"/>
      <c r="BB3" s="1594"/>
      <c r="BC3" s="1594"/>
      <c r="BD3" s="1594"/>
      <c r="BE3" s="1594"/>
      <c r="BF3" s="1594"/>
      <c r="BG3" s="1594"/>
      <c r="BH3" s="1594"/>
      <c r="BI3" s="1594"/>
      <c r="BJ3" s="1594"/>
      <c r="BK3" s="1594"/>
      <c r="BL3" s="1594"/>
      <c r="BM3" s="1594"/>
      <c r="BN3" s="1594"/>
      <c r="BO3" s="1594"/>
      <c r="BP3" s="1594"/>
      <c r="BQ3" s="1594"/>
      <c r="BR3" s="1594"/>
      <c r="BS3" s="1594"/>
      <c r="BT3" s="1594"/>
      <c r="BU3" s="1594"/>
      <c r="BV3" s="1594"/>
      <c r="BW3" s="1594"/>
      <c r="BX3" s="1594"/>
      <c r="BY3" s="1594"/>
      <c r="BZ3" s="1594"/>
      <c r="CA3" s="1594"/>
      <c r="CB3" s="1594"/>
      <c r="CC3" s="1594"/>
      <c r="CD3" s="1594"/>
      <c r="CE3" s="1594"/>
      <c r="CF3" s="1594"/>
      <c r="CG3" s="1594"/>
      <c r="CH3" s="1594"/>
      <c r="CI3" s="1594"/>
      <c r="CJ3" s="1594"/>
      <c r="CK3" s="1594"/>
      <c r="CL3" s="1594"/>
      <c r="CM3" s="1594"/>
      <c r="CN3" s="1594"/>
      <c r="CO3" s="1594"/>
      <c r="CP3" s="1594"/>
      <c r="CQ3" s="1594"/>
      <c r="CR3" s="1594"/>
      <c r="CS3" s="1594"/>
      <c r="CT3" s="1594"/>
      <c r="CU3" s="1594"/>
      <c r="CV3" s="1594"/>
      <c r="CW3" s="1594"/>
      <c r="CX3" s="1594"/>
      <c r="CY3" s="1594"/>
      <c r="CZ3" s="1594"/>
    </row>
    <row r="4" spans="1:104">
      <c r="A4" s="1584"/>
      <c r="B4" s="1594"/>
      <c r="C4" s="1594"/>
      <c r="D4" s="317"/>
      <c r="E4" s="1594"/>
      <c r="F4" s="317"/>
      <c r="G4" s="1594"/>
      <c r="Q4" s="317"/>
      <c r="R4" s="1594"/>
      <c r="S4" s="1594"/>
      <c r="T4" s="1594"/>
      <c r="U4" s="621"/>
      <c r="V4" s="499"/>
      <c r="W4" s="317"/>
      <c r="X4" s="317"/>
      <c r="Y4" s="317"/>
      <c r="Z4" s="317"/>
      <c r="AA4" s="1594"/>
      <c r="AB4" s="1594"/>
      <c r="AC4" s="317"/>
      <c r="AD4" s="1594"/>
      <c r="AE4" s="1594"/>
      <c r="AF4" s="1594"/>
      <c r="AG4" s="1594"/>
      <c r="AH4" s="1594"/>
      <c r="AI4" s="1594"/>
      <c r="AJ4" s="1594"/>
      <c r="AK4" s="1594"/>
      <c r="AL4" s="1594"/>
      <c r="AM4" s="1594"/>
      <c r="AN4" s="1594"/>
      <c r="AO4" s="1594"/>
      <c r="AP4" s="1594"/>
      <c r="AQ4" s="1594"/>
      <c r="AR4" s="1594"/>
      <c r="AS4" s="1594"/>
      <c r="AT4" s="1594"/>
      <c r="AU4" s="1594"/>
      <c r="AV4" s="1594"/>
      <c r="AW4" s="1594"/>
      <c r="AX4" s="1594"/>
      <c r="AY4" s="1594"/>
      <c r="AZ4" s="1594"/>
      <c r="BA4" s="1594"/>
      <c r="BB4" s="1594"/>
      <c r="BC4" s="1594"/>
      <c r="BD4" s="1594"/>
      <c r="BE4" s="1594"/>
      <c r="BF4" s="1594"/>
      <c r="BG4" s="1594"/>
      <c r="BH4" s="1594"/>
      <c r="BI4" s="1594"/>
      <c r="BJ4" s="1594"/>
      <c r="BK4" s="1594"/>
      <c r="BL4" s="1594"/>
      <c r="BM4" s="1594"/>
      <c r="BN4" s="1594"/>
      <c r="BO4" s="1594"/>
      <c r="BP4" s="1594"/>
      <c r="BQ4" s="1594"/>
      <c r="BR4" s="1594"/>
      <c r="BS4" s="1594"/>
      <c r="BT4" s="1594"/>
      <c r="BU4" s="1594"/>
      <c r="BV4" s="1594"/>
      <c r="BW4" s="1594"/>
      <c r="BX4" s="1594"/>
      <c r="BY4" s="1594"/>
      <c r="BZ4" s="1594"/>
      <c r="CA4" s="1594"/>
      <c r="CB4" s="1594"/>
      <c r="CC4" s="1594"/>
      <c r="CD4" s="1594"/>
      <c r="CE4" s="1594"/>
      <c r="CF4" s="1594"/>
      <c r="CG4" s="1594"/>
      <c r="CH4" s="1594"/>
      <c r="CI4" s="1594"/>
      <c r="CJ4" s="1594"/>
      <c r="CK4" s="1594"/>
      <c r="CL4" s="1594"/>
      <c r="CM4" s="1594"/>
      <c r="CN4" s="1594"/>
      <c r="CO4" s="1594"/>
      <c r="CP4" s="1594"/>
      <c r="CQ4" s="1594"/>
      <c r="CR4" s="1594"/>
      <c r="CS4" s="1594"/>
      <c r="CT4" s="1594"/>
      <c r="CU4" s="1594"/>
      <c r="CV4" s="1594"/>
      <c r="CW4" s="1594"/>
      <c r="CX4" s="1594"/>
      <c r="CY4" s="1594"/>
      <c r="CZ4" s="1594"/>
    </row>
    <row r="5" spans="1:104">
      <c r="A5" s="1188">
        <v>18</v>
      </c>
      <c r="B5" s="1172" t="s">
        <v>1236</v>
      </c>
      <c r="C5" s="1172"/>
      <c r="D5" s="1173"/>
      <c r="E5" s="1172"/>
      <c r="F5" s="1173"/>
      <c r="G5" s="1172"/>
      <c r="H5" s="1174"/>
      <c r="I5" s="278"/>
      <c r="J5" s="278"/>
      <c r="K5" s="278"/>
      <c r="L5" s="278"/>
      <c r="M5" s="278"/>
      <c r="N5" s="278"/>
      <c r="O5" s="278"/>
      <c r="P5" s="278"/>
      <c r="Q5" s="322"/>
      <c r="R5" s="322"/>
      <c r="S5" s="321"/>
      <c r="T5" s="321"/>
      <c r="U5" s="622"/>
      <c r="V5" s="623"/>
      <c r="W5" s="317"/>
      <c r="X5" s="317"/>
      <c r="Y5" s="317"/>
      <c r="Z5" s="317"/>
      <c r="AA5" s="1594"/>
      <c r="AB5" s="1594"/>
      <c r="AC5" s="317"/>
      <c r="AD5" s="1594"/>
      <c r="AE5" s="1594"/>
      <c r="AF5" s="1594"/>
      <c r="AG5" s="1594"/>
      <c r="AH5" s="1594"/>
      <c r="AI5" s="1594"/>
      <c r="AJ5" s="1594"/>
      <c r="AK5" s="1594"/>
      <c r="AL5" s="1594"/>
      <c r="AM5" s="1594"/>
      <c r="AN5" s="1594"/>
      <c r="AO5" s="1594"/>
      <c r="AP5" s="1594"/>
      <c r="AQ5" s="1594"/>
      <c r="AR5" s="1594"/>
      <c r="AS5" s="1594"/>
      <c r="AT5" s="1594"/>
      <c r="AU5" s="1594"/>
      <c r="AV5" s="1594"/>
      <c r="AW5" s="1594"/>
      <c r="AX5" s="1594"/>
      <c r="AY5" s="1594"/>
      <c r="AZ5" s="1594"/>
      <c r="BA5" s="1594"/>
      <c r="BB5" s="1594"/>
      <c r="BC5" s="1594"/>
      <c r="BD5" s="1594"/>
      <c r="BE5" s="1594"/>
      <c r="BF5" s="1594"/>
      <c r="BG5" s="1594"/>
      <c r="BH5" s="1594"/>
      <c r="BI5" s="1594"/>
      <c r="BJ5" s="1594"/>
      <c r="BK5" s="1594"/>
      <c r="BL5" s="1594"/>
      <c r="BM5" s="1594"/>
      <c r="BN5" s="1594"/>
      <c r="BO5" s="1594"/>
      <c r="BP5" s="1594"/>
      <c r="BQ5" s="1594"/>
      <c r="BR5" s="1594"/>
      <c r="BS5" s="1594"/>
      <c r="BT5" s="1594"/>
      <c r="BU5" s="1594"/>
      <c r="BV5" s="1594"/>
      <c r="BW5" s="1594"/>
      <c r="BX5" s="1594"/>
      <c r="BY5" s="1594"/>
      <c r="BZ5" s="1594"/>
      <c r="CA5" s="1594"/>
      <c r="CB5" s="1594"/>
      <c r="CC5" s="1594"/>
      <c r="CD5" s="1594"/>
      <c r="CE5" s="1594"/>
      <c r="CF5" s="1594"/>
      <c r="CG5" s="1594"/>
      <c r="CH5" s="1594"/>
      <c r="CI5" s="1594"/>
      <c r="CJ5" s="1594"/>
      <c r="CK5" s="1594"/>
      <c r="CL5" s="1594"/>
      <c r="CM5" s="1594"/>
      <c r="CN5" s="1594"/>
      <c r="CO5" s="1594"/>
      <c r="CP5" s="1594"/>
      <c r="CQ5" s="1594"/>
      <c r="CR5" s="1594"/>
      <c r="CS5" s="1594"/>
      <c r="CT5" s="1594"/>
      <c r="CU5" s="1594"/>
      <c r="CV5" s="1594"/>
      <c r="CW5" s="1594"/>
      <c r="CX5" s="1594"/>
      <c r="CY5" s="1594"/>
      <c r="CZ5" s="1594"/>
    </row>
    <row r="6" spans="1:104">
      <c r="A6" s="1584"/>
      <c r="B6" s="1594"/>
      <c r="C6" s="1594"/>
      <c r="D6" s="317"/>
      <c r="E6" s="1594"/>
      <c r="F6" s="317"/>
      <c r="G6" s="1594"/>
      <c r="Q6" s="317"/>
      <c r="R6" s="317"/>
      <c r="S6" s="1594"/>
      <c r="T6" s="1594"/>
      <c r="U6" s="621"/>
      <c r="V6" s="499"/>
      <c r="W6" s="317"/>
      <c r="X6" s="317"/>
      <c r="Y6" s="317"/>
      <c r="Z6" s="317"/>
      <c r="AA6" s="1594"/>
      <c r="AB6" s="1594"/>
      <c r="AC6" s="317"/>
      <c r="AD6" s="1594"/>
      <c r="AE6" s="1594"/>
      <c r="AF6" s="1594"/>
      <c r="AG6" s="1594"/>
      <c r="AH6" s="1594"/>
      <c r="AI6" s="1594"/>
      <c r="AJ6" s="1594"/>
      <c r="AK6" s="1594"/>
      <c r="AL6" s="1594"/>
      <c r="AM6" s="1594"/>
      <c r="AN6" s="1594"/>
      <c r="AO6" s="1594"/>
      <c r="AP6" s="1594"/>
      <c r="AQ6" s="1594"/>
      <c r="AR6" s="1594"/>
      <c r="AS6" s="1594"/>
      <c r="AT6" s="1594"/>
      <c r="AU6" s="1594"/>
      <c r="AV6" s="1594"/>
      <c r="AW6" s="1594"/>
      <c r="AX6" s="1594"/>
      <c r="AY6" s="1594"/>
      <c r="AZ6" s="1594"/>
      <c r="BA6" s="1594"/>
      <c r="BB6" s="1594"/>
      <c r="BC6" s="1594"/>
      <c r="BD6" s="1594"/>
      <c r="BE6" s="1594"/>
      <c r="BF6" s="1594"/>
      <c r="BG6" s="1594"/>
      <c r="BH6" s="1594"/>
      <c r="BI6" s="1594"/>
      <c r="BJ6" s="1594"/>
      <c r="BK6" s="1594"/>
      <c r="BL6" s="1594"/>
      <c r="BM6" s="1594"/>
      <c r="BN6" s="1594"/>
      <c r="BO6" s="1594"/>
      <c r="BP6" s="1594"/>
      <c r="BQ6" s="1594"/>
      <c r="BR6" s="1594"/>
      <c r="BS6" s="1594"/>
      <c r="BT6" s="1594"/>
      <c r="BU6" s="1594"/>
      <c r="BV6" s="1594"/>
      <c r="BW6" s="1594"/>
      <c r="BX6" s="1594"/>
      <c r="BY6" s="1594"/>
      <c r="BZ6" s="1594"/>
      <c r="CA6" s="1594"/>
      <c r="CB6" s="1594"/>
      <c r="CC6" s="1594"/>
      <c r="CD6" s="1594"/>
      <c r="CE6" s="1594"/>
      <c r="CF6" s="1594"/>
      <c r="CG6" s="1594"/>
      <c r="CH6" s="1594"/>
      <c r="CI6" s="1594"/>
      <c r="CJ6" s="1594"/>
      <c r="CK6" s="1594"/>
      <c r="CL6" s="1594"/>
      <c r="CM6" s="1594"/>
      <c r="CN6" s="1594"/>
      <c r="CO6" s="1594"/>
      <c r="CP6" s="1594"/>
      <c r="CQ6" s="1594"/>
      <c r="CR6" s="1594"/>
      <c r="CS6" s="1594"/>
      <c r="CT6" s="1594"/>
      <c r="CU6" s="1594"/>
      <c r="CV6" s="1594"/>
      <c r="CW6" s="1594"/>
      <c r="CX6" s="1594"/>
      <c r="CY6" s="1594"/>
      <c r="CZ6" s="1594"/>
    </row>
    <row r="7" spans="1:104">
      <c r="A7" s="1584"/>
      <c r="B7" s="135" t="s">
        <v>707</v>
      </c>
      <c r="C7" s="135"/>
      <c r="D7" s="155" t="s">
        <v>2081</v>
      </c>
      <c r="E7" s="1594"/>
      <c r="F7" s="139" t="s">
        <v>1808</v>
      </c>
      <c r="G7" s="135"/>
      <c r="H7" s="185"/>
      <c r="I7" s="135"/>
      <c r="J7" s="135"/>
      <c r="K7" s="135"/>
      <c r="L7" s="135"/>
      <c r="M7" s="135"/>
      <c r="N7" s="135"/>
      <c r="O7" s="135"/>
      <c r="P7" s="135"/>
      <c r="Q7" s="317"/>
      <c r="R7" s="317"/>
      <c r="S7" s="317"/>
      <c r="T7" s="1594"/>
      <c r="U7" s="621"/>
      <c r="V7" s="499"/>
      <c r="W7" s="317"/>
      <c r="X7" s="317"/>
      <c r="Y7" s="317"/>
      <c r="Z7" s="317"/>
      <c r="AA7" s="1594"/>
      <c r="AB7" s="1594"/>
      <c r="AC7" s="317"/>
      <c r="AD7" s="1594"/>
      <c r="AE7" s="1594"/>
      <c r="AF7" s="1594"/>
      <c r="AG7" s="1594"/>
      <c r="AH7" s="1594"/>
      <c r="AI7" s="1594"/>
      <c r="AJ7" s="1594"/>
      <c r="AK7" s="1594"/>
      <c r="AL7" s="1594"/>
      <c r="AM7" s="1594"/>
      <c r="AN7" s="1594"/>
      <c r="AO7" s="1594"/>
      <c r="AP7" s="1594"/>
      <c r="AQ7" s="1594"/>
      <c r="AR7" s="1594"/>
      <c r="AS7" s="1594"/>
      <c r="AT7" s="1594"/>
      <c r="AU7" s="1594"/>
      <c r="AV7" s="1594"/>
      <c r="AW7" s="1594"/>
      <c r="AX7" s="1594"/>
      <c r="AY7" s="1594"/>
      <c r="AZ7" s="1594"/>
      <c r="BA7" s="1594"/>
      <c r="BB7" s="1594"/>
      <c r="BC7" s="1594"/>
      <c r="BD7" s="1594"/>
      <c r="BE7" s="1594"/>
      <c r="BF7" s="1594"/>
      <c r="BG7" s="1594"/>
      <c r="BH7" s="1594"/>
      <c r="BI7" s="1594"/>
      <c r="BJ7" s="1594"/>
      <c r="BK7" s="1594"/>
      <c r="BL7" s="1594"/>
      <c r="BM7" s="1594"/>
      <c r="BN7" s="1594"/>
      <c r="BO7" s="1594"/>
      <c r="BP7" s="1594"/>
      <c r="BQ7" s="1594"/>
      <c r="BR7" s="1594"/>
      <c r="BS7" s="1594"/>
      <c r="BT7" s="1594"/>
      <c r="BU7" s="1594"/>
      <c r="BV7" s="1594"/>
      <c r="BW7" s="1594"/>
      <c r="BX7" s="1594"/>
      <c r="BY7" s="1594"/>
      <c r="BZ7" s="1594"/>
      <c r="CA7" s="1594"/>
      <c r="CB7" s="1594"/>
      <c r="CC7" s="1594"/>
      <c r="CD7" s="1594"/>
      <c r="CE7" s="1594"/>
      <c r="CF7" s="1594"/>
      <c r="CG7" s="1594"/>
      <c r="CH7" s="1594"/>
      <c r="CI7" s="1594"/>
      <c r="CJ7" s="1594"/>
      <c r="CK7" s="1594"/>
      <c r="CL7" s="1594"/>
      <c r="CM7" s="1594"/>
      <c r="CN7" s="1594"/>
      <c r="CO7" s="1594"/>
      <c r="CP7" s="1594"/>
      <c r="CQ7" s="1594"/>
      <c r="CR7" s="1594"/>
      <c r="CS7" s="1594"/>
      <c r="CT7" s="1594"/>
      <c r="CU7" s="1594"/>
      <c r="CV7" s="1594"/>
      <c r="CW7" s="1594"/>
      <c r="CX7" s="1594"/>
      <c r="CY7" s="1594"/>
      <c r="CZ7" s="1594"/>
    </row>
    <row r="8" spans="1:104">
      <c r="A8" s="1584"/>
      <c r="B8" s="1594"/>
      <c r="C8" s="1594"/>
      <c r="D8" s="317"/>
      <c r="E8" s="1594"/>
      <c r="F8" s="317"/>
      <c r="G8" s="1594"/>
      <c r="Q8" s="317"/>
      <c r="R8" s="317"/>
      <c r="S8" s="1594"/>
      <c r="T8" s="1594"/>
      <c r="U8" s="621"/>
      <c r="V8" s="499"/>
      <c r="W8" s="317"/>
      <c r="X8" s="317"/>
      <c r="Y8" s="317"/>
      <c r="Z8" s="317"/>
      <c r="AA8" s="1594"/>
      <c r="AB8" s="1594"/>
      <c r="AC8" s="317"/>
      <c r="AD8" s="1594"/>
      <c r="AE8" s="1594"/>
      <c r="AF8" s="1594"/>
      <c r="AG8" s="1594"/>
      <c r="AH8" s="1594"/>
      <c r="AI8" s="1594"/>
      <c r="AJ8" s="1594"/>
      <c r="AK8" s="1594"/>
      <c r="AL8" s="1594"/>
      <c r="AM8" s="1594"/>
      <c r="AN8" s="1594"/>
      <c r="AO8" s="1594"/>
      <c r="AP8" s="1594"/>
      <c r="AQ8" s="1594"/>
      <c r="AR8" s="1594"/>
      <c r="AS8" s="1594"/>
      <c r="AT8" s="1594"/>
      <c r="AU8" s="1594"/>
      <c r="AV8" s="1594"/>
      <c r="AW8" s="1594"/>
      <c r="AX8" s="1594"/>
      <c r="AY8" s="1594"/>
      <c r="AZ8" s="1594"/>
      <c r="BA8" s="1594"/>
      <c r="BB8" s="1594"/>
      <c r="BC8" s="1594"/>
      <c r="BD8" s="1594"/>
      <c r="BE8" s="1594"/>
      <c r="BF8" s="1594"/>
      <c r="BG8" s="1594"/>
      <c r="BH8" s="1594"/>
      <c r="BI8" s="1594"/>
      <c r="BJ8" s="1594"/>
      <c r="BK8" s="1594"/>
      <c r="BL8" s="1594"/>
      <c r="BM8" s="1594"/>
      <c r="BN8" s="1594"/>
      <c r="BO8" s="1594"/>
      <c r="BP8" s="1594"/>
      <c r="BQ8" s="1594"/>
      <c r="BR8" s="1594"/>
      <c r="BS8" s="1594"/>
      <c r="BT8" s="1594"/>
      <c r="BU8" s="1594"/>
      <c r="BV8" s="1594"/>
      <c r="BW8" s="1594"/>
      <c r="BX8" s="1594"/>
      <c r="BY8" s="1594"/>
      <c r="BZ8" s="1594"/>
      <c r="CA8" s="1594"/>
      <c r="CB8" s="1594"/>
      <c r="CC8" s="1594"/>
      <c r="CD8" s="1594"/>
      <c r="CE8" s="1594"/>
      <c r="CF8" s="1594"/>
      <c r="CG8" s="1594"/>
      <c r="CH8" s="1594"/>
      <c r="CI8" s="1594"/>
      <c r="CJ8" s="1594"/>
      <c r="CK8" s="1594"/>
      <c r="CL8" s="1594"/>
      <c r="CM8" s="1594"/>
      <c r="CN8" s="1594"/>
      <c r="CO8" s="1594"/>
      <c r="CP8" s="1594"/>
      <c r="CQ8" s="1594"/>
      <c r="CR8" s="1594"/>
      <c r="CS8" s="1594"/>
      <c r="CT8" s="1594"/>
      <c r="CU8" s="1594"/>
      <c r="CV8" s="1594"/>
      <c r="CW8" s="1594"/>
      <c r="CX8" s="1594"/>
      <c r="CY8" s="1594"/>
      <c r="CZ8" s="1594"/>
    </row>
    <row r="9" spans="1:104">
      <c r="A9" s="1584"/>
      <c r="B9" s="1594"/>
      <c r="C9" s="1594"/>
      <c r="D9" s="1175"/>
      <c r="E9" s="1594"/>
      <c r="F9" s="156"/>
      <c r="G9" s="1594"/>
      <c r="Q9" s="1598"/>
      <c r="R9" s="1592"/>
      <c r="S9" s="1594"/>
      <c r="T9" s="534"/>
      <c r="U9" s="274"/>
      <c r="V9" s="499"/>
      <c r="W9" s="317"/>
      <c r="X9" s="317"/>
      <c r="Y9" s="317"/>
      <c r="Z9" s="317"/>
      <c r="AA9" s="1594"/>
      <c r="AB9" s="1594"/>
      <c r="AC9" s="317"/>
      <c r="AD9" s="1594"/>
      <c r="AE9" s="1594"/>
      <c r="AF9" s="1594"/>
      <c r="AG9" s="1594"/>
      <c r="AH9" s="1594"/>
      <c r="AI9" s="1594"/>
      <c r="AJ9" s="1594"/>
      <c r="AK9" s="1594"/>
      <c r="AL9" s="1594"/>
      <c r="AM9" s="1594"/>
      <c r="AN9" s="1594"/>
      <c r="AO9" s="1594"/>
      <c r="AP9" s="1594"/>
      <c r="AQ9" s="1594"/>
      <c r="AR9" s="1594"/>
      <c r="AS9" s="1594"/>
      <c r="AT9" s="1594"/>
      <c r="AU9" s="1594"/>
      <c r="AV9" s="1594"/>
      <c r="AW9" s="1594"/>
      <c r="AX9" s="1594"/>
      <c r="AY9" s="1594"/>
      <c r="AZ9" s="1594"/>
      <c r="BA9" s="1594"/>
      <c r="BB9" s="1594"/>
      <c r="BC9" s="1594"/>
      <c r="BD9" s="1594"/>
      <c r="BE9" s="1594"/>
      <c r="BF9" s="1594"/>
      <c r="BG9" s="1594"/>
      <c r="BH9" s="1594"/>
      <c r="BI9" s="1594"/>
      <c r="BJ9" s="1594"/>
      <c r="BK9" s="1594"/>
      <c r="BL9" s="1594"/>
      <c r="BM9" s="1594"/>
      <c r="BN9" s="1594"/>
      <c r="BO9" s="1594"/>
      <c r="BP9" s="1594"/>
      <c r="BQ9" s="1594"/>
      <c r="BR9" s="1594"/>
      <c r="BS9" s="1594"/>
      <c r="BT9" s="1594"/>
      <c r="BU9" s="1594"/>
      <c r="BV9" s="1594"/>
      <c r="BW9" s="1594"/>
      <c r="BX9" s="1594"/>
      <c r="BY9" s="1594"/>
      <c r="BZ9" s="1594"/>
      <c r="CA9" s="1594"/>
      <c r="CB9" s="1594"/>
      <c r="CC9" s="1594"/>
      <c r="CD9" s="1594"/>
      <c r="CE9" s="1594"/>
      <c r="CF9" s="1594"/>
      <c r="CG9" s="1594"/>
      <c r="CH9" s="1594"/>
      <c r="CI9" s="1594"/>
      <c r="CJ9" s="1594"/>
      <c r="CK9" s="1594"/>
      <c r="CL9" s="1594"/>
      <c r="CM9" s="1594"/>
      <c r="CN9" s="1594"/>
      <c r="CO9" s="1594"/>
      <c r="CP9" s="1594"/>
      <c r="CQ9" s="1594"/>
      <c r="CR9" s="1594"/>
      <c r="CS9" s="1594"/>
      <c r="CT9" s="1594"/>
      <c r="CU9" s="1594"/>
      <c r="CV9" s="1594"/>
      <c r="CW9" s="1594"/>
      <c r="CX9" s="1594"/>
      <c r="CY9" s="1594"/>
      <c r="CZ9" s="1594"/>
    </row>
    <row r="10" spans="1:104">
      <c r="A10" s="1584"/>
      <c r="B10" s="1587" t="s">
        <v>1237</v>
      </c>
      <c r="C10" s="1587"/>
      <c r="D10" s="319">
        <f>-SUM('TRAIL BALANCE'!F2)</f>
        <v>4360612.95</v>
      </c>
      <c r="E10" s="1587"/>
      <c r="F10" s="319">
        <f>-SUM('TRAIL BALANCE'!E2)</f>
        <v>4533786.2</v>
      </c>
      <c r="G10" s="1587"/>
      <c r="H10" s="332"/>
      <c r="I10" s="1587"/>
      <c r="J10" s="1587"/>
      <c r="K10" s="1587"/>
      <c r="L10" s="1587"/>
      <c r="M10" s="1587"/>
      <c r="N10" s="1587"/>
      <c r="O10" s="1587"/>
      <c r="P10" s="1587"/>
      <c r="Q10" s="624" t="e">
        <f>-SUM('TRAIL BALANCE'!#REF!)</f>
        <v>#REF!</v>
      </c>
      <c r="R10" s="317"/>
      <c r="S10" s="317"/>
      <c r="T10" s="534"/>
      <c r="U10" s="625" t="e">
        <f>-SUM('TRAIL BALANCE'!#REF!)</f>
        <v>#REF!</v>
      </c>
      <c r="V10" s="499"/>
      <c r="W10" s="317"/>
      <c r="X10" s="317"/>
      <c r="Y10" s="317"/>
      <c r="Z10" s="317"/>
      <c r="AA10" s="1594"/>
      <c r="AB10" s="1594"/>
      <c r="AC10" s="317"/>
      <c r="AD10" s="1594"/>
      <c r="AE10" s="1594"/>
      <c r="AF10" s="1594"/>
      <c r="AG10" s="1594"/>
      <c r="AH10" s="1594"/>
      <c r="AI10" s="1594"/>
      <c r="AJ10" s="1594"/>
      <c r="AK10" s="1594"/>
      <c r="AL10" s="1594"/>
      <c r="AM10" s="1594"/>
      <c r="AN10" s="1594"/>
      <c r="AO10" s="1594"/>
      <c r="AP10" s="1594"/>
      <c r="AQ10" s="1594"/>
      <c r="AR10" s="1594"/>
      <c r="AS10" s="1594"/>
      <c r="AT10" s="1594"/>
      <c r="AU10" s="1594"/>
      <c r="AV10" s="1594"/>
      <c r="AW10" s="1594"/>
      <c r="AX10" s="1594"/>
      <c r="AY10" s="1594"/>
      <c r="AZ10" s="1594"/>
      <c r="BA10" s="1594"/>
      <c r="BB10" s="1594"/>
      <c r="BC10" s="1594"/>
      <c r="BD10" s="1594"/>
      <c r="BE10" s="1594"/>
      <c r="BF10" s="1594"/>
      <c r="BG10" s="1594"/>
      <c r="BH10" s="1594"/>
      <c r="BI10" s="1594"/>
      <c r="BJ10" s="1594"/>
      <c r="BK10" s="1594"/>
      <c r="BL10" s="1594"/>
      <c r="BM10" s="1594"/>
      <c r="BN10" s="1594"/>
      <c r="BO10" s="1594"/>
      <c r="BP10" s="1594"/>
      <c r="BQ10" s="1594"/>
      <c r="BR10" s="1594"/>
      <c r="BS10" s="1594"/>
      <c r="BT10" s="1594"/>
      <c r="BU10" s="1594"/>
      <c r="BV10" s="1594"/>
      <c r="BW10" s="1594"/>
      <c r="BX10" s="1594"/>
      <c r="BY10" s="1594"/>
      <c r="BZ10" s="1594"/>
      <c r="CA10" s="1594"/>
      <c r="CB10" s="1594"/>
      <c r="CC10" s="1594"/>
      <c r="CD10" s="1594"/>
      <c r="CE10" s="1594"/>
      <c r="CF10" s="1594"/>
      <c r="CG10" s="1594"/>
      <c r="CH10" s="1594"/>
      <c r="CI10" s="1594"/>
      <c r="CJ10" s="1594"/>
      <c r="CK10" s="1594"/>
      <c r="CL10" s="1594"/>
      <c r="CM10" s="1594"/>
      <c r="CN10" s="1594"/>
      <c r="CO10" s="1594"/>
      <c r="CP10" s="1594"/>
      <c r="CQ10" s="1594"/>
      <c r="CR10" s="1594"/>
      <c r="CS10" s="1594"/>
      <c r="CT10" s="1594"/>
      <c r="CU10" s="1594"/>
      <c r="CV10" s="1594"/>
      <c r="CW10" s="1594"/>
      <c r="CX10" s="1594"/>
      <c r="CY10" s="1594"/>
      <c r="CZ10" s="1594"/>
    </row>
    <row r="11" spans="1:104">
      <c r="A11" s="1584"/>
      <c r="B11" s="1587" t="s">
        <v>987</v>
      </c>
      <c r="C11" s="1587"/>
      <c r="D11" s="213">
        <f>-SUM('TRAIL BALANCE'!F5)</f>
        <v>944006.14</v>
      </c>
      <c r="E11" s="1587"/>
      <c r="F11" s="213">
        <f>-SUM('TRAIL BALANCE'!E5)</f>
        <v>2752108.07</v>
      </c>
      <c r="G11" s="1587"/>
      <c r="H11" s="332"/>
      <c r="I11" s="1587"/>
      <c r="J11" s="1587"/>
      <c r="K11" s="1587"/>
      <c r="L11" s="1587"/>
      <c r="M11" s="1587"/>
      <c r="N11" s="1587"/>
      <c r="O11" s="1587"/>
      <c r="P11" s="1587"/>
      <c r="Q11" s="539" t="e">
        <f>-SUM('TRAIL BALANCE'!#REF!)</f>
        <v>#REF!</v>
      </c>
      <c r="R11" s="317"/>
      <c r="S11" s="1594"/>
      <c r="T11" s="534"/>
      <c r="U11" s="626" t="e">
        <f>-SUM('TRAIL BALANCE'!#REF!)</f>
        <v>#REF!</v>
      </c>
      <c r="V11" s="499"/>
      <c r="W11" s="316" t="s">
        <v>36</v>
      </c>
      <c r="X11" s="317"/>
      <c r="Y11" s="317"/>
      <c r="Z11" s="317"/>
      <c r="AA11" s="1594"/>
      <c r="AB11" s="1594"/>
      <c r="AC11" s="317"/>
      <c r="AD11" s="1594"/>
      <c r="AE11" s="1594"/>
      <c r="AF11" s="1594"/>
      <c r="AG11" s="1594"/>
      <c r="AH11" s="1594"/>
      <c r="AI11" s="1594"/>
      <c r="AJ11" s="1594"/>
      <c r="AK11" s="1594"/>
      <c r="AL11" s="1594"/>
      <c r="AM11" s="1594"/>
      <c r="AN11" s="1594"/>
      <c r="AO11" s="1594"/>
      <c r="AP11" s="1594"/>
      <c r="AQ11" s="1594"/>
      <c r="AR11" s="1594"/>
      <c r="AS11" s="1594"/>
      <c r="AT11" s="1594"/>
      <c r="AU11" s="1594"/>
      <c r="AV11" s="1594"/>
      <c r="AW11" s="1594"/>
      <c r="AX11" s="1594"/>
      <c r="AY11" s="1594"/>
      <c r="AZ11" s="1594"/>
      <c r="BA11" s="1594"/>
      <c r="BB11" s="1594"/>
      <c r="BC11" s="1594"/>
      <c r="BD11" s="1594"/>
      <c r="BE11" s="1594"/>
      <c r="BF11" s="1594"/>
      <c r="BG11" s="1594"/>
      <c r="BH11" s="1594"/>
      <c r="BI11" s="1594"/>
      <c r="BJ11" s="1594"/>
      <c r="BK11" s="1594"/>
      <c r="BL11" s="1594"/>
      <c r="BM11" s="1594"/>
      <c r="BN11" s="1594"/>
      <c r="BO11" s="1594"/>
      <c r="BP11" s="1594"/>
      <c r="BQ11" s="1594"/>
      <c r="BR11" s="1594"/>
      <c r="BS11" s="1594"/>
      <c r="BT11" s="1594"/>
      <c r="BU11" s="1594"/>
      <c r="BV11" s="1594"/>
      <c r="BW11" s="1594"/>
      <c r="BX11" s="1594"/>
      <c r="BY11" s="1594"/>
      <c r="BZ11" s="1594"/>
      <c r="CA11" s="1594"/>
      <c r="CB11" s="1594"/>
      <c r="CC11" s="1594"/>
      <c r="CD11" s="1594"/>
      <c r="CE11" s="1594"/>
      <c r="CF11" s="1594"/>
      <c r="CG11" s="1594"/>
      <c r="CH11" s="1594"/>
      <c r="CI11" s="1594"/>
      <c r="CJ11" s="1594"/>
      <c r="CK11" s="1594"/>
      <c r="CL11" s="1594"/>
      <c r="CM11" s="1594"/>
      <c r="CN11" s="1594"/>
      <c r="CO11" s="1594"/>
      <c r="CP11" s="1594"/>
      <c r="CQ11" s="1594"/>
      <c r="CR11" s="1594"/>
      <c r="CS11" s="1594"/>
      <c r="CT11" s="1594"/>
      <c r="CU11" s="1594"/>
      <c r="CV11" s="1594"/>
      <c r="CW11" s="1594"/>
      <c r="CX11" s="1594"/>
      <c r="CY11" s="1594"/>
      <c r="CZ11" s="1594"/>
    </row>
    <row r="12" spans="1:104">
      <c r="A12" s="1584"/>
      <c r="B12" s="1587" t="s">
        <v>1238</v>
      </c>
      <c r="C12" s="1587"/>
      <c r="D12" s="213">
        <f>-SUM('TRAIL BALANCE'!F4)</f>
        <v>4756036.5599999996</v>
      </c>
      <c r="E12" s="1587"/>
      <c r="F12" s="213">
        <f>-SUM('TRAIL BALANCE'!E4)</f>
        <v>1783100.34</v>
      </c>
      <c r="G12" s="1587"/>
      <c r="H12" s="332"/>
      <c r="I12" s="1587"/>
      <c r="J12" s="1587"/>
      <c r="K12" s="1587"/>
      <c r="L12" s="1587"/>
      <c r="M12" s="1587"/>
      <c r="N12" s="1587"/>
      <c r="O12" s="1587"/>
      <c r="P12" s="1587"/>
      <c r="Q12" s="539" t="e">
        <f>-SUM('TRAIL BALANCE'!#REF!)</f>
        <v>#REF!</v>
      </c>
      <c r="R12" s="317"/>
      <c r="S12" s="317"/>
      <c r="T12" s="534"/>
      <c r="U12" s="626" t="e">
        <f>-SUM('TRAIL BALANCE'!#REF!)</f>
        <v>#REF!</v>
      </c>
      <c r="V12" s="499"/>
      <c r="W12" s="317"/>
      <c r="X12" s="317"/>
      <c r="Y12" s="317"/>
      <c r="Z12" s="317"/>
      <c r="AA12" s="1594"/>
      <c r="AB12" s="1594"/>
      <c r="AC12" s="317"/>
      <c r="AD12" s="1594"/>
      <c r="AE12" s="1594"/>
      <c r="AF12" s="1594"/>
      <c r="AG12" s="1594"/>
      <c r="AH12" s="1594"/>
      <c r="AI12" s="1594"/>
      <c r="AJ12" s="1594"/>
      <c r="AK12" s="1594"/>
      <c r="AL12" s="1594"/>
      <c r="AM12" s="1594"/>
      <c r="AN12" s="1594"/>
      <c r="AO12" s="1594"/>
      <c r="AP12" s="1594"/>
      <c r="AQ12" s="1594"/>
      <c r="AR12" s="1594"/>
      <c r="AS12" s="1594"/>
      <c r="AT12" s="1594"/>
      <c r="AU12" s="1594"/>
      <c r="AV12" s="1594"/>
      <c r="AW12" s="1594"/>
      <c r="AX12" s="1594"/>
      <c r="AY12" s="1594"/>
      <c r="AZ12" s="1594"/>
      <c r="BA12" s="1594"/>
      <c r="BB12" s="1594"/>
      <c r="BC12" s="1594"/>
      <c r="BD12" s="1594"/>
      <c r="BE12" s="1594"/>
      <c r="BF12" s="1594"/>
      <c r="BG12" s="1594"/>
      <c r="BH12" s="1594"/>
      <c r="BI12" s="1594"/>
      <c r="BJ12" s="1594"/>
      <c r="BK12" s="1594"/>
      <c r="BL12" s="1594"/>
      <c r="BM12" s="1594"/>
      <c r="BN12" s="1594"/>
      <c r="BO12" s="1594"/>
      <c r="BP12" s="1594"/>
      <c r="BQ12" s="1594"/>
      <c r="BR12" s="1594"/>
      <c r="BS12" s="1594"/>
      <c r="BT12" s="1594"/>
      <c r="BU12" s="1594"/>
      <c r="BV12" s="1594"/>
      <c r="BW12" s="1594"/>
      <c r="BX12" s="1594"/>
      <c r="BY12" s="1594"/>
      <c r="BZ12" s="1594"/>
      <c r="CA12" s="1594"/>
      <c r="CB12" s="1594"/>
      <c r="CC12" s="1594"/>
      <c r="CD12" s="1594"/>
      <c r="CE12" s="1594"/>
      <c r="CF12" s="1594"/>
      <c r="CG12" s="1594"/>
      <c r="CH12" s="1594"/>
      <c r="CI12" s="1594"/>
      <c r="CJ12" s="1594"/>
      <c r="CK12" s="1594"/>
      <c r="CL12" s="1594"/>
      <c r="CM12" s="1594"/>
      <c r="CN12" s="1594"/>
      <c r="CO12" s="1594"/>
      <c r="CP12" s="1594"/>
      <c r="CQ12" s="1594"/>
      <c r="CR12" s="1594"/>
      <c r="CS12" s="1594"/>
      <c r="CT12" s="1594"/>
      <c r="CU12" s="1594"/>
      <c r="CV12" s="1594"/>
      <c r="CW12" s="1594"/>
      <c r="CX12" s="1594"/>
      <c r="CY12" s="1594"/>
      <c r="CZ12" s="1594"/>
    </row>
    <row r="13" spans="1:104">
      <c r="A13" s="1584"/>
      <c r="B13" s="1587" t="s">
        <v>988</v>
      </c>
      <c r="C13" s="1587"/>
      <c r="D13" s="213">
        <f>-SUM('TRAIL BALANCE'!F3)</f>
        <v>392052.78</v>
      </c>
      <c r="E13" s="1587"/>
      <c r="F13" s="213">
        <f>-SUM('TRAIL BALANCE'!E3)</f>
        <v>388601.39</v>
      </c>
      <c r="G13" s="1587"/>
      <c r="H13" s="332"/>
      <c r="I13" s="1587"/>
      <c r="J13" s="1587"/>
      <c r="K13" s="1587"/>
      <c r="L13" s="1587"/>
      <c r="M13" s="1587"/>
      <c r="N13" s="1587"/>
      <c r="O13" s="1587"/>
      <c r="P13" s="1587"/>
      <c r="Q13" s="539" t="e">
        <f>-SUM('TRAIL BALANCE'!#REF!)</f>
        <v>#REF!</v>
      </c>
      <c r="R13" s="317"/>
      <c r="S13" s="1594"/>
      <c r="T13" s="534"/>
      <c r="U13" s="626" t="e">
        <f>-SUM('TRAIL BALANCE'!#REF!)</f>
        <v>#REF!</v>
      </c>
      <c r="V13" s="499"/>
      <c r="W13" s="317"/>
      <c r="X13" s="317"/>
      <c r="Y13" s="317"/>
      <c r="Z13" s="317"/>
      <c r="AA13" s="1594"/>
      <c r="AB13" s="1594"/>
      <c r="AC13" s="317"/>
      <c r="AD13" s="1594"/>
      <c r="AE13" s="1594"/>
      <c r="AF13" s="1594"/>
      <c r="AG13" s="1594"/>
      <c r="AH13" s="1594"/>
      <c r="AI13" s="1594"/>
      <c r="AJ13" s="1594"/>
      <c r="AK13" s="1594"/>
      <c r="AL13" s="1594"/>
      <c r="AM13" s="1594"/>
      <c r="AN13" s="1594"/>
      <c r="AO13" s="1594"/>
      <c r="AP13" s="1594"/>
      <c r="AQ13" s="1594"/>
      <c r="AR13" s="1594"/>
      <c r="AS13" s="1594"/>
      <c r="AT13" s="1594"/>
      <c r="AU13" s="1594"/>
      <c r="AV13" s="1594"/>
      <c r="AW13" s="1594"/>
      <c r="AX13" s="1594"/>
      <c r="AY13" s="1594"/>
      <c r="AZ13" s="1594"/>
      <c r="BA13" s="1594"/>
      <c r="BB13" s="1594"/>
      <c r="BC13" s="1594"/>
      <c r="BD13" s="1594"/>
      <c r="BE13" s="1594"/>
      <c r="BF13" s="1594"/>
      <c r="BG13" s="1594"/>
      <c r="BH13" s="1594"/>
      <c r="BI13" s="1594"/>
      <c r="BJ13" s="1594"/>
      <c r="BK13" s="1594"/>
      <c r="BL13" s="1594"/>
      <c r="BM13" s="1594"/>
      <c r="BN13" s="1594"/>
      <c r="BO13" s="1594"/>
      <c r="BP13" s="1594"/>
      <c r="BQ13" s="1594"/>
      <c r="BR13" s="1594"/>
      <c r="BS13" s="1594"/>
      <c r="BT13" s="1594"/>
      <c r="BU13" s="1594"/>
      <c r="BV13" s="1594"/>
      <c r="BW13" s="1594"/>
      <c r="BX13" s="1594"/>
      <c r="BY13" s="1594"/>
      <c r="BZ13" s="1594"/>
      <c r="CA13" s="1594"/>
      <c r="CB13" s="1594"/>
      <c r="CC13" s="1594"/>
      <c r="CD13" s="1594"/>
      <c r="CE13" s="1594"/>
      <c r="CF13" s="1594"/>
      <c r="CG13" s="1594"/>
      <c r="CH13" s="1594"/>
      <c r="CI13" s="1594"/>
      <c r="CJ13" s="1594"/>
      <c r="CK13" s="1594"/>
      <c r="CL13" s="1594"/>
      <c r="CM13" s="1594"/>
      <c r="CN13" s="1594"/>
      <c r="CO13" s="1594"/>
      <c r="CP13" s="1594"/>
      <c r="CQ13" s="1594"/>
      <c r="CR13" s="1594"/>
      <c r="CS13" s="1594"/>
      <c r="CT13" s="1594"/>
      <c r="CU13" s="1594"/>
      <c r="CV13" s="1594"/>
      <c r="CW13" s="1594"/>
      <c r="CX13" s="1594"/>
      <c r="CY13" s="1594"/>
      <c r="CZ13" s="1594"/>
    </row>
    <row r="14" spans="1:104">
      <c r="A14" s="1584"/>
      <c r="B14" s="1587" t="s">
        <v>1239</v>
      </c>
      <c r="C14" s="1587"/>
      <c r="D14" s="627"/>
      <c r="E14" s="1587"/>
      <c r="F14" s="627"/>
      <c r="G14" s="1587"/>
      <c r="H14" s="332"/>
      <c r="I14" s="1587"/>
      <c r="J14" s="1587"/>
      <c r="K14" s="1587"/>
      <c r="L14" s="1587"/>
      <c r="M14" s="1587"/>
      <c r="N14" s="1587"/>
      <c r="O14" s="1587"/>
      <c r="P14" s="1587"/>
      <c r="Q14" s="539"/>
      <c r="R14" s="317"/>
      <c r="S14" s="317"/>
      <c r="T14" s="534"/>
      <c r="U14" s="621"/>
      <c r="V14" s="499"/>
      <c r="W14" s="317"/>
      <c r="X14" s="317"/>
      <c r="Y14" s="317"/>
      <c r="Z14" s="317"/>
      <c r="AA14" s="1594"/>
      <c r="AB14" s="1594"/>
      <c r="AC14" s="317"/>
      <c r="AD14" s="1594"/>
      <c r="AE14" s="1594"/>
      <c r="AF14" s="1594"/>
      <c r="AG14" s="1594"/>
      <c r="AH14" s="1594"/>
      <c r="AI14" s="1594"/>
      <c r="AJ14" s="1594"/>
      <c r="AK14" s="1594"/>
      <c r="AL14" s="1594"/>
      <c r="AM14" s="1594"/>
      <c r="AN14" s="1594"/>
      <c r="AO14" s="1594"/>
      <c r="AP14" s="1594"/>
      <c r="AQ14" s="1594"/>
      <c r="AR14" s="1594"/>
      <c r="AS14" s="1594"/>
      <c r="AT14" s="1594"/>
      <c r="AU14" s="1594"/>
      <c r="AV14" s="1594"/>
      <c r="AW14" s="1594"/>
      <c r="AX14" s="1594"/>
      <c r="AY14" s="1594"/>
      <c r="AZ14" s="1594"/>
      <c r="BA14" s="1594"/>
      <c r="BB14" s="1594"/>
      <c r="BC14" s="1594"/>
      <c r="BD14" s="1594"/>
      <c r="BE14" s="1594"/>
      <c r="BF14" s="1594"/>
      <c r="BG14" s="1594"/>
      <c r="BH14" s="1594"/>
      <c r="BI14" s="1594"/>
      <c r="BJ14" s="1594"/>
      <c r="BK14" s="1594"/>
      <c r="BL14" s="1594"/>
      <c r="BM14" s="1594"/>
      <c r="BN14" s="1594"/>
      <c r="BO14" s="1594"/>
      <c r="BP14" s="1594"/>
      <c r="BQ14" s="1594"/>
      <c r="BR14" s="1594"/>
      <c r="BS14" s="1594"/>
      <c r="BT14" s="1594"/>
      <c r="BU14" s="1594"/>
      <c r="BV14" s="1594"/>
      <c r="BW14" s="1594"/>
      <c r="BX14" s="1594"/>
      <c r="BY14" s="1594"/>
      <c r="BZ14" s="1594"/>
      <c r="CA14" s="1594"/>
      <c r="CB14" s="1594"/>
      <c r="CC14" s="1594"/>
      <c r="CD14" s="1594"/>
      <c r="CE14" s="1594"/>
      <c r="CF14" s="1594"/>
      <c r="CG14" s="1594"/>
      <c r="CH14" s="1594"/>
      <c r="CI14" s="1594"/>
      <c r="CJ14" s="1594"/>
      <c r="CK14" s="1594"/>
      <c r="CL14" s="1594"/>
      <c r="CM14" s="1594"/>
      <c r="CN14" s="1594"/>
      <c r="CO14" s="1594"/>
      <c r="CP14" s="1594"/>
      <c r="CQ14" s="1594"/>
      <c r="CR14" s="1594"/>
      <c r="CS14" s="1594"/>
      <c r="CT14" s="1594"/>
      <c r="CU14" s="1594"/>
      <c r="CV14" s="1594"/>
      <c r="CW14" s="1594"/>
      <c r="CX14" s="1594"/>
      <c r="CY14" s="1594"/>
      <c r="CZ14" s="1594"/>
    </row>
    <row r="15" spans="1:104">
      <c r="A15" s="1584"/>
      <c r="B15" s="1587"/>
      <c r="C15" s="1587"/>
      <c r="D15" s="628"/>
      <c r="E15" s="1587"/>
      <c r="F15" s="628"/>
      <c r="G15" s="1587"/>
      <c r="H15" s="332"/>
      <c r="I15" s="1587"/>
      <c r="J15" s="1587"/>
      <c r="K15" s="1587"/>
      <c r="L15" s="1587"/>
      <c r="M15" s="1587"/>
      <c r="N15" s="1587"/>
      <c r="O15" s="1587"/>
      <c r="P15" s="1587"/>
      <c r="Q15" s="539"/>
      <c r="R15" s="317"/>
      <c r="S15" s="317"/>
      <c r="T15" s="534"/>
      <c r="U15" s="621"/>
      <c r="V15" s="499"/>
      <c r="W15" s="317"/>
      <c r="X15" s="317"/>
      <c r="Y15" s="317"/>
      <c r="Z15" s="317"/>
      <c r="AA15" s="1594"/>
      <c r="AB15" s="1594"/>
      <c r="AC15" s="317"/>
      <c r="AD15" s="1594"/>
      <c r="AE15" s="1594"/>
      <c r="AF15" s="1594"/>
      <c r="AG15" s="1594"/>
      <c r="AH15" s="1594"/>
      <c r="AI15" s="1594"/>
      <c r="AJ15" s="1594"/>
      <c r="AK15" s="1594"/>
      <c r="AL15" s="1594"/>
      <c r="AM15" s="1594"/>
      <c r="AN15" s="1594"/>
      <c r="AO15" s="1594"/>
      <c r="AP15" s="1594"/>
      <c r="AQ15" s="1594"/>
      <c r="AR15" s="1594"/>
      <c r="AS15" s="1594"/>
      <c r="AT15" s="1594"/>
      <c r="AU15" s="1594"/>
      <c r="AV15" s="1594"/>
      <c r="AW15" s="1594"/>
      <c r="AX15" s="1594"/>
      <c r="AY15" s="1594"/>
      <c r="AZ15" s="1594"/>
      <c r="BA15" s="1594"/>
      <c r="BB15" s="1594"/>
      <c r="BC15" s="1594"/>
      <c r="BD15" s="1594"/>
      <c r="BE15" s="1594"/>
      <c r="BF15" s="1594"/>
      <c r="BG15" s="1594"/>
      <c r="BH15" s="1594"/>
      <c r="BI15" s="1594"/>
      <c r="BJ15" s="1594"/>
      <c r="BK15" s="1594"/>
      <c r="BL15" s="1594"/>
      <c r="BM15" s="1594"/>
      <c r="BN15" s="1594"/>
      <c r="BO15" s="1594"/>
      <c r="BP15" s="1594"/>
      <c r="BQ15" s="1594"/>
      <c r="BR15" s="1594"/>
      <c r="BS15" s="1594"/>
      <c r="BT15" s="1594"/>
      <c r="BU15" s="1594"/>
      <c r="BV15" s="1594"/>
      <c r="BW15" s="1594"/>
      <c r="BX15" s="1594"/>
      <c r="BY15" s="1594"/>
      <c r="BZ15" s="1594"/>
      <c r="CA15" s="1594"/>
      <c r="CB15" s="1594"/>
      <c r="CC15" s="1594"/>
      <c r="CD15" s="1594"/>
      <c r="CE15" s="1594"/>
      <c r="CF15" s="1594"/>
      <c r="CG15" s="1594"/>
      <c r="CH15" s="1594"/>
      <c r="CI15" s="1594"/>
      <c r="CJ15" s="1594"/>
      <c r="CK15" s="1594"/>
      <c r="CL15" s="1594"/>
      <c r="CM15" s="1594"/>
      <c r="CN15" s="1594"/>
      <c r="CO15" s="1594"/>
      <c r="CP15" s="1594"/>
      <c r="CQ15" s="1594"/>
      <c r="CR15" s="1594"/>
      <c r="CS15" s="1594"/>
      <c r="CT15" s="1594"/>
      <c r="CU15" s="1594"/>
      <c r="CV15" s="1594"/>
      <c r="CW15" s="1594"/>
      <c r="CX15" s="1594"/>
      <c r="CY15" s="1594"/>
      <c r="CZ15" s="1594"/>
    </row>
    <row r="16" spans="1:104" ht="13.5" thickBot="1">
      <c r="A16" s="1584"/>
      <c r="B16" s="135" t="s">
        <v>1877</v>
      </c>
      <c r="C16" s="135"/>
      <c r="D16" s="143">
        <f>SUM(D10:D14)</f>
        <v>10452708.429999998</v>
      </c>
      <c r="E16" s="135"/>
      <c r="F16" s="143">
        <f>SUM(F10:F14)</f>
        <v>9457596</v>
      </c>
      <c r="G16" s="135"/>
      <c r="H16" s="185"/>
      <c r="I16" s="135"/>
      <c r="J16" s="135"/>
      <c r="K16" s="135"/>
      <c r="L16" s="135"/>
      <c r="M16" s="135"/>
      <c r="N16" s="135"/>
      <c r="O16" s="135"/>
      <c r="P16" s="135"/>
      <c r="Q16" s="275" t="e">
        <f>SUM(Q10:Q14)</f>
        <v>#REF!</v>
      </c>
      <c r="R16" s="137"/>
      <c r="S16" s="135"/>
      <c r="T16" s="138"/>
      <c r="U16" s="245" t="e">
        <f>SUM(U10:U14)</f>
        <v>#REF!</v>
      </c>
      <c r="V16" s="499"/>
      <c r="W16" s="317"/>
      <c r="X16" s="317"/>
      <c r="Y16" s="317"/>
      <c r="Z16" s="317"/>
      <c r="AA16" s="1594"/>
      <c r="AB16" s="1594"/>
      <c r="AC16" s="317"/>
      <c r="AD16" s="1594"/>
      <c r="AE16" s="1594"/>
      <c r="AF16" s="1594"/>
      <c r="AG16" s="1594"/>
      <c r="AH16" s="1594"/>
      <c r="AI16" s="1594"/>
      <c r="AJ16" s="1594"/>
      <c r="AK16" s="1594"/>
      <c r="AL16" s="1594"/>
      <c r="AM16" s="1594"/>
      <c r="AN16" s="1594"/>
      <c r="AO16" s="1594"/>
      <c r="AP16" s="1594"/>
      <c r="AQ16" s="1594"/>
      <c r="AR16" s="1594"/>
      <c r="AS16" s="1594"/>
      <c r="AT16" s="1594"/>
      <c r="AU16" s="1594"/>
      <c r="AV16" s="1594"/>
      <c r="AW16" s="1594"/>
      <c r="AX16" s="1594"/>
      <c r="AY16" s="1594"/>
      <c r="AZ16" s="1594"/>
      <c r="BA16" s="1594"/>
      <c r="BB16" s="1594"/>
      <c r="BC16" s="1594"/>
      <c r="BD16" s="1594"/>
      <c r="BE16" s="1594"/>
      <c r="BF16" s="1594"/>
      <c r="BG16" s="1594"/>
      <c r="BH16" s="1594"/>
      <c r="BI16" s="1594"/>
      <c r="BJ16" s="1594"/>
      <c r="BK16" s="1594"/>
      <c r="BL16" s="1594"/>
      <c r="BM16" s="1594"/>
      <c r="BN16" s="1594"/>
      <c r="BO16" s="1594"/>
      <c r="BP16" s="1594"/>
      <c r="BQ16" s="1594"/>
      <c r="BR16" s="1594"/>
      <c r="BS16" s="1594"/>
      <c r="BT16" s="1594"/>
      <c r="BU16" s="1594"/>
      <c r="BV16" s="1594"/>
      <c r="BW16" s="1594"/>
      <c r="BX16" s="1594"/>
      <c r="BY16" s="1594"/>
      <c r="BZ16" s="1594"/>
      <c r="CA16" s="1594"/>
      <c r="CB16" s="1594"/>
      <c r="CC16" s="1594"/>
      <c r="CD16" s="1594"/>
      <c r="CE16" s="1594"/>
      <c r="CF16" s="1594"/>
      <c r="CG16" s="1594"/>
      <c r="CH16" s="1594"/>
      <c r="CI16" s="1594"/>
      <c r="CJ16" s="1594"/>
      <c r="CK16" s="1594"/>
      <c r="CL16" s="1594"/>
      <c r="CM16" s="1594"/>
      <c r="CN16" s="1594"/>
      <c r="CO16" s="1594"/>
      <c r="CP16" s="1594"/>
      <c r="CQ16" s="1594"/>
      <c r="CR16" s="1594"/>
      <c r="CS16" s="1594"/>
      <c r="CT16" s="1594"/>
      <c r="CU16" s="1594"/>
      <c r="CV16" s="1594"/>
      <c r="CW16" s="1594"/>
      <c r="CX16" s="1594"/>
      <c r="CY16" s="1594"/>
      <c r="CZ16" s="1594"/>
    </row>
    <row r="17" spans="1:104" ht="13.5" thickTop="1">
      <c r="A17" s="1584"/>
      <c r="B17" s="135"/>
      <c r="C17" s="135"/>
      <c r="D17" s="136"/>
      <c r="E17" s="135"/>
      <c r="F17" s="136"/>
      <c r="G17" s="135"/>
      <c r="H17" s="185"/>
      <c r="I17" s="135"/>
      <c r="J17" s="135"/>
      <c r="K17" s="135"/>
      <c r="L17" s="135"/>
      <c r="M17" s="135"/>
      <c r="N17" s="135"/>
      <c r="O17" s="135"/>
      <c r="P17" s="135"/>
      <c r="Q17" s="136"/>
      <c r="R17" s="136"/>
      <c r="S17" s="135"/>
      <c r="T17" s="135"/>
      <c r="U17" s="227"/>
      <c r="V17" s="499"/>
      <c r="W17" s="317"/>
      <c r="X17" s="317"/>
      <c r="Y17" s="317"/>
      <c r="Z17" s="317"/>
      <c r="AA17" s="1594"/>
      <c r="AB17" s="1594"/>
      <c r="AC17" s="317"/>
      <c r="AD17" s="1594"/>
      <c r="AE17" s="1594"/>
      <c r="AF17" s="1594"/>
      <c r="AG17" s="1594"/>
      <c r="AH17" s="1594"/>
      <c r="AI17" s="1594"/>
      <c r="AJ17" s="1594"/>
      <c r="AK17" s="1594"/>
      <c r="AL17" s="1594"/>
      <c r="AM17" s="1594"/>
      <c r="AN17" s="1594"/>
      <c r="AO17" s="1594"/>
      <c r="AP17" s="1594"/>
      <c r="AQ17" s="1594"/>
      <c r="AR17" s="1594"/>
      <c r="AS17" s="1594"/>
      <c r="AT17" s="1594"/>
      <c r="AU17" s="1594"/>
      <c r="AV17" s="1594"/>
      <c r="AW17" s="1594"/>
      <c r="AX17" s="1594"/>
      <c r="AY17" s="1594"/>
      <c r="AZ17" s="1594"/>
      <c r="BA17" s="1594"/>
      <c r="BB17" s="1594"/>
      <c r="BC17" s="1594"/>
      <c r="BD17" s="1594"/>
      <c r="BE17" s="1594"/>
      <c r="BF17" s="1594"/>
      <c r="BG17" s="1594"/>
      <c r="BH17" s="1594"/>
      <c r="BI17" s="1594"/>
      <c r="BJ17" s="1594"/>
      <c r="BK17" s="1594"/>
      <c r="BL17" s="1594"/>
      <c r="BM17" s="1594"/>
      <c r="BN17" s="1594"/>
      <c r="BO17" s="1594"/>
      <c r="BP17" s="1594"/>
      <c r="BQ17" s="1594"/>
      <c r="BR17" s="1594"/>
      <c r="BS17" s="1594"/>
      <c r="BT17" s="1594"/>
      <c r="BU17" s="1594"/>
      <c r="BV17" s="1594"/>
      <c r="BW17" s="1594"/>
      <c r="BX17" s="1594"/>
      <c r="BY17" s="1594"/>
      <c r="BZ17" s="1594"/>
      <c r="CA17" s="1594"/>
      <c r="CB17" s="1594"/>
      <c r="CC17" s="1594"/>
      <c r="CD17" s="1594"/>
      <c r="CE17" s="1594"/>
      <c r="CF17" s="1594"/>
      <c r="CG17" s="1594"/>
      <c r="CH17" s="1594"/>
      <c r="CI17" s="1594"/>
      <c r="CJ17" s="1594"/>
      <c r="CK17" s="1594"/>
      <c r="CL17" s="1594"/>
      <c r="CM17" s="1594"/>
      <c r="CN17" s="1594"/>
      <c r="CO17" s="1594"/>
      <c r="CP17" s="1594"/>
      <c r="CQ17" s="1594"/>
      <c r="CR17" s="1594"/>
      <c r="CS17" s="1594"/>
      <c r="CT17" s="1594"/>
      <c r="CU17" s="1594"/>
      <c r="CV17" s="1594"/>
      <c r="CW17" s="1594"/>
      <c r="CX17" s="1594"/>
      <c r="CY17" s="1594"/>
      <c r="CZ17" s="1594"/>
    </row>
    <row r="18" spans="1:104">
      <c r="A18" s="1584"/>
      <c r="B18" s="135" t="s">
        <v>1241</v>
      </c>
      <c r="C18" s="135"/>
      <c r="D18" s="136"/>
      <c r="E18" s="135"/>
      <c r="F18" s="136"/>
      <c r="G18" s="135"/>
      <c r="H18" s="185"/>
      <c r="I18" s="135"/>
      <c r="J18" s="135"/>
      <c r="K18" s="135"/>
      <c r="L18" s="135"/>
      <c r="M18" s="135"/>
      <c r="N18" s="135"/>
      <c r="O18" s="135"/>
      <c r="P18" s="135"/>
      <c r="Q18" s="317"/>
      <c r="R18" s="317"/>
      <c r="S18" s="1594"/>
      <c r="T18" s="1594"/>
      <c r="U18" s="621"/>
      <c r="V18" s="499"/>
      <c r="W18" s="317"/>
      <c r="X18" s="317"/>
      <c r="Y18" s="317"/>
      <c r="Z18" s="317"/>
      <c r="AA18" s="1594"/>
      <c r="AB18" s="1594"/>
      <c r="AC18" s="317"/>
      <c r="AD18" s="1594"/>
      <c r="AE18" s="1594"/>
      <c r="AF18" s="1594"/>
      <c r="AG18" s="1594"/>
      <c r="AH18" s="1594"/>
      <c r="AI18" s="1594"/>
      <c r="AJ18" s="1594"/>
      <c r="AK18" s="1594"/>
      <c r="AL18" s="1594"/>
      <c r="AM18" s="1594"/>
      <c r="AN18" s="1594"/>
      <c r="AO18" s="1594"/>
      <c r="AP18" s="1594"/>
      <c r="AQ18" s="1594"/>
      <c r="AR18" s="1594"/>
      <c r="AS18" s="1594"/>
      <c r="AT18" s="1594"/>
      <c r="AU18" s="1594"/>
      <c r="AV18" s="1594"/>
      <c r="AW18" s="1594"/>
      <c r="AX18" s="1594"/>
      <c r="AY18" s="1594"/>
      <c r="AZ18" s="1594"/>
      <c r="BA18" s="1594"/>
      <c r="BB18" s="1594"/>
      <c r="BC18" s="1594"/>
      <c r="BD18" s="1594"/>
      <c r="BE18" s="1594"/>
      <c r="BF18" s="1594"/>
      <c r="BG18" s="1594"/>
      <c r="BH18" s="1594"/>
      <c r="BI18" s="1594"/>
      <c r="BJ18" s="1594"/>
      <c r="BK18" s="1594"/>
      <c r="BL18" s="1594"/>
      <c r="BM18" s="1594"/>
      <c r="BN18" s="1594"/>
      <c r="BO18" s="1594"/>
      <c r="BP18" s="1594"/>
      <c r="BQ18" s="1594"/>
      <c r="BR18" s="1594"/>
      <c r="BS18" s="1594"/>
      <c r="BT18" s="1594"/>
      <c r="BU18" s="1594"/>
      <c r="BV18" s="1594"/>
      <c r="BW18" s="1594"/>
      <c r="BX18" s="1594"/>
      <c r="BY18" s="1594"/>
      <c r="BZ18" s="1594"/>
      <c r="CA18" s="1594"/>
      <c r="CB18" s="1594"/>
      <c r="CC18" s="1594"/>
      <c r="CD18" s="1594"/>
      <c r="CE18" s="1594"/>
      <c r="CF18" s="1594"/>
      <c r="CG18" s="1594"/>
      <c r="CH18" s="1594"/>
      <c r="CI18" s="1594"/>
      <c r="CJ18" s="1594"/>
      <c r="CK18" s="1594"/>
      <c r="CL18" s="1594"/>
      <c r="CM18" s="1594"/>
      <c r="CN18" s="1594"/>
      <c r="CO18" s="1594"/>
      <c r="CP18" s="1594"/>
      <c r="CQ18" s="1594"/>
      <c r="CR18" s="1594"/>
      <c r="CS18" s="1594"/>
      <c r="CT18" s="1594"/>
      <c r="CU18" s="1594"/>
      <c r="CV18" s="1594"/>
      <c r="CW18" s="1594"/>
      <c r="CX18" s="1594"/>
      <c r="CY18" s="1594"/>
      <c r="CZ18" s="1594"/>
    </row>
    <row r="19" spans="1:104">
      <c r="A19" s="1584"/>
      <c r="B19" s="1594"/>
      <c r="C19" s="1594"/>
      <c r="D19" s="317"/>
      <c r="E19" s="1594"/>
      <c r="F19" s="317"/>
      <c r="G19" s="1594"/>
      <c r="Q19" s="317"/>
      <c r="R19" s="317"/>
      <c r="S19" s="317"/>
      <c r="T19" s="1594"/>
      <c r="U19" s="621"/>
      <c r="V19" s="499"/>
      <c r="W19" s="317"/>
      <c r="X19" s="317"/>
      <c r="Y19" s="317"/>
      <c r="Z19" s="317"/>
      <c r="AA19" s="1594"/>
      <c r="AB19" s="1594"/>
      <c r="AC19" s="317"/>
      <c r="AD19" s="1594"/>
      <c r="AE19" s="1594"/>
      <c r="AF19" s="1594"/>
      <c r="AG19" s="1594"/>
      <c r="AH19" s="1594"/>
      <c r="AI19" s="1594"/>
      <c r="AJ19" s="1594"/>
      <c r="AK19" s="1594"/>
      <c r="AL19" s="1594"/>
      <c r="AM19" s="1594"/>
      <c r="AN19" s="1594"/>
      <c r="AO19" s="1594"/>
      <c r="AP19" s="1594"/>
      <c r="AQ19" s="1594"/>
      <c r="AR19" s="1594"/>
      <c r="AS19" s="1594"/>
      <c r="AT19" s="1594"/>
      <c r="AU19" s="1594"/>
      <c r="AV19" s="1594"/>
      <c r="AW19" s="1594"/>
      <c r="AX19" s="1594"/>
      <c r="AY19" s="1594"/>
      <c r="AZ19" s="1594"/>
      <c r="BA19" s="1594"/>
      <c r="BB19" s="1594"/>
      <c r="BC19" s="1594"/>
      <c r="BD19" s="1594"/>
      <c r="BE19" s="1594"/>
      <c r="BF19" s="1594"/>
      <c r="BG19" s="1594"/>
      <c r="BH19" s="1594"/>
      <c r="BI19" s="1594"/>
      <c r="BJ19" s="1594"/>
      <c r="BK19" s="1594"/>
      <c r="BL19" s="1594"/>
      <c r="BM19" s="1594"/>
      <c r="BN19" s="1594"/>
      <c r="BO19" s="1594"/>
      <c r="BP19" s="1594"/>
      <c r="BQ19" s="1594"/>
      <c r="BR19" s="1594"/>
      <c r="BS19" s="1594"/>
      <c r="BT19" s="1594"/>
      <c r="BU19" s="1594"/>
      <c r="BV19" s="1594"/>
      <c r="BW19" s="1594"/>
      <c r="BX19" s="1594"/>
      <c r="BY19" s="1594"/>
      <c r="BZ19" s="1594"/>
      <c r="CA19" s="1594"/>
      <c r="CB19" s="1594"/>
      <c r="CC19" s="1594"/>
      <c r="CD19" s="1594"/>
      <c r="CE19" s="1594"/>
      <c r="CF19" s="1594"/>
      <c r="CG19" s="1594"/>
      <c r="CH19" s="1594"/>
      <c r="CI19" s="1594"/>
      <c r="CJ19" s="1594"/>
      <c r="CK19" s="1594"/>
      <c r="CL19" s="1594"/>
      <c r="CM19" s="1594"/>
      <c r="CN19" s="1594"/>
      <c r="CO19" s="1594"/>
      <c r="CP19" s="1594"/>
      <c r="CQ19" s="1594"/>
      <c r="CR19" s="1594"/>
      <c r="CS19" s="1594"/>
      <c r="CT19" s="1594"/>
      <c r="CU19" s="1594"/>
      <c r="CV19" s="1594"/>
      <c r="CW19" s="1594"/>
      <c r="CX19" s="1594"/>
      <c r="CY19" s="1594"/>
      <c r="CZ19" s="1594"/>
    </row>
    <row r="20" spans="1:104">
      <c r="A20" s="1584"/>
      <c r="B20" s="1587" t="s">
        <v>1237</v>
      </c>
      <c r="C20" s="1587"/>
      <c r="D20" s="630">
        <f>696686700+4500000+2158000</f>
        <v>703344700</v>
      </c>
      <c r="E20" s="1587"/>
      <c r="F20" s="630">
        <v>703004700</v>
      </c>
      <c r="G20" s="1587"/>
      <c r="H20" s="332"/>
      <c r="I20" s="1587"/>
      <c r="J20" s="1587"/>
      <c r="K20" s="1587"/>
      <c r="L20" s="1587"/>
      <c r="M20" s="1587"/>
      <c r="N20" s="1587"/>
      <c r="O20" s="1587"/>
      <c r="P20" s="1587"/>
      <c r="Q20" s="1133">
        <f>686947610+1916000+3500000+300000</f>
        <v>692663610</v>
      </c>
      <c r="R20" s="317"/>
      <c r="S20" s="1594"/>
      <c r="T20" s="534"/>
      <c r="U20" s="625">
        <v>619954200</v>
      </c>
      <c r="V20" s="499"/>
      <c r="W20" s="317"/>
      <c r="X20" s="317"/>
      <c r="Y20" s="317"/>
      <c r="Z20" s="317"/>
      <c r="AA20" s="1594"/>
      <c r="AB20" s="1594"/>
      <c r="AC20" s="317"/>
      <c r="AD20" s="1594"/>
      <c r="AE20" s="1594"/>
      <c r="AF20" s="1594"/>
      <c r="AG20" s="1594"/>
      <c r="AH20" s="1594"/>
      <c r="AI20" s="1594"/>
      <c r="AJ20" s="1594"/>
      <c r="AK20" s="1594"/>
      <c r="AL20" s="1594"/>
      <c r="AM20" s="1594"/>
      <c r="AN20" s="1594"/>
      <c r="AO20" s="1594"/>
      <c r="AP20" s="1594"/>
      <c r="AQ20" s="1594"/>
      <c r="AR20" s="1594"/>
      <c r="AS20" s="1594"/>
      <c r="AT20" s="1594"/>
      <c r="AU20" s="1594"/>
      <c r="AV20" s="1594"/>
      <c r="AW20" s="1594"/>
      <c r="AX20" s="1594"/>
      <c r="AY20" s="1594"/>
      <c r="AZ20" s="1594"/>
      <c r="BA20" s="1594"/>
      <c r="BB20" s="1594"/>
      <c r="BC20" s="1594"/>
      <c r="BD20" s="1594"/>
      <c r="BE20" s="1594"/>
      <c r="BF20" s="1594"/>
      <c r="BG20" s="1594"/>
      <c r="BH20" s="1594"/>
      <c r="BI20" s="1594"/>
      <c r="BJ20" s="1594"/>
      <c r="BK20" s="1594"/>
      <c r="BL20" s="1594"/>
      <c r="BM20" s="1594"/>
      <c r="BN20" s="1594"/>
      <c r="BO20" s="1594"/>
      <c r="BP20" s="1594"/>
      <c r="BQ20" s="1594"/>
      <c r="BR20" s="1594"/>
      <c r="BS20" s="1594"/>
      <c r="BT20" s="1594"/>
      <c r="BU20" s="1594"/>
      <c r="BV20" s="1594"/>
      <c r="BW20" s="1594"/>
      <c r="BX20" s="1594"/>
      <c r="BY20" s="1594"/>
      <c r="BZ20" s="1594"/>
      <c r="CA20" s="1594"/>
      <c r="CB20" s="1594"/>
      <c r="CC20" s="1594"/>
      <c r="CD20" s="1594"/>
      <c r="CE20" s="1594"/>
      <c r="CF20" s="1594"/>
      <c r="CG20" s="1594"/>
      <c r="CH20" s="1594"/>
      <c r="CI20" s="1594"/>
      <c r="CJ20" s="1594"/>
      <c r="CK20" s="1594"/>
      <c r="CL20" s="1594"/>
      <c r="CM20" s="1594"/>
      <c r="CN20" s="1594"/>
      <c r="CO20" s="1594"/>
      <c r="CP20" s="1594"/>
      <c r="CQ20" s="1594"/>
      <c r="CR20" s="1594"/>
      <c r="CS20" s="1594"/>
      <c r="CT20" s="1594"/>
      <c r="CU20" s="1594"/>
      <c r="CV20" s="1594"/>
      <c r="CW20" s="1594"/>
      <c r="CX20" s="1594"/>
      <c r="CY20" s="1594"/>
      <c r="CZ20" s="1594"/>
    </row>
    <row r="21" spans="1:104">
      <c r="A21" s="1584"/>
      <c r="B21" s="1587" t="s">
        <v>1132</v>
      </c>
      <c r="C21" s="1587"/>
      <c r="D21" s="632">
        <f>235738450+10060000</f>
        <v>245798450</v>
      </c>
      <c r="E21" s="1587"/>
      <c r="F21" s="632">
        <v>210860600</v>
      </c>
      <c r="G21" s="1587"/>
      <c r="H21" s="332"/>
      <c r="I21" s="1587"/>
      <c r="J21" s="1587"/>
      <c r="K21" s="1587"/>
      <c r="L21" s="1587"/>
      <c r="M21" s="1587"/>
      <c r="N21" s="1587"/>
      <c r="O21" s="1587"/>
      <c r="P21" s="1587"/>
      <c r="Q21" s="1133">
        <f>160695000+10060000+1500000</f>
        <v>172255000</v>
      </c>
      <c r="R21" s="317"/>
      <c r="S21" s="1594"/>
      <c r="T21" s="534"/>
      <c r="U21" s="626">
        <v>157383000</v>
      </c>
      <c r="V21" s="499"/>
      <c r="W21" s="317"/>
      <c r="X21" s="317"/>
      <c r="Y21" s="317"/>
      <c r="Z21" s="317"/>
      <c r="AA21" s="1594"/>
      <c r="AB21" s="1594"/>
      <c r="AC21" s="317"/>
      <c r="AD21" s="1594"/>
      <c r="AE21" s="1594"/>
      <c r="AF21" s="1594"/>
      <c r="AG21" s="1594"/>
      <c r="AH21" s="1594"/>
      <c r="AI21" s="1594"/>
      <c r="AJ21" s="1594"/>
      <c r="AK21" s="1594"/>
      <c r="AL21" s="1594"/>
      <c r="AM21" s="1594"/>
      <c r="AN21" s="1594"/>
      <c r="AO21" s="1594"/>
      <c r="AP21" s="1594"/>
      <c r="AQ21" s="1594"/>
      <c r="AR21" s="1594"/>
      <c r="AS21" s="1594"/>
      <c r="AT21" s="1594"/>
      <c r="AU21" s="1594"/>
      <c r="AV21" s="1594"/>
      <c r="AW21" s="1594"/>
      <c r="AX21" s="1594"/>
      <c r="AY21" s="1594"/>
      <c r="AZ21" s="1594"/>
      <c r="BA21" s="1594"/>
      <c r="BB21" s="1594"/>
      <c r="BC21" s="1594"/>
      <c r="BD21" s="1594"/>
      <c r="BE21" s="1594"/>
      <c r="BF21" s="1594"/>
      <c r="BG21" s="1594"/>
      <c r="BH21" s="1594"/>
      <c r="BI21" s="1594"/>
      <c r="BJ21" s="1594"/>
      <c r="BK21" s="1594"/>
      <c r="BL21" s="1594"/>
      <c r="BM21" s="1594"/>
      <c r="BN21" s="1594"/>
      <c r="BO21" s="1594"/>
      <c r="BP21" s="1594"/>
      <c r="BQ21" s="1594"/>
      <c r="BR21" s="1594"/>
      <c r="BS21" s="1594"/>
      <c r="BT21" s="1594"/>
      <c r="BU21" s="1594"/>
      <c r="BV21" s="1594"/>
      <c r="BW21" s="1594"/>
      <c r="BX21" s="1594"/>
      <c r="BY21" s="1594"/>
      <c r="BZ21" s="1594"/>
      <c r="CA21" s="1594"/>
      <c r="CB21" s="1594"/>
      <c r="CC21" s="1594"/>
      <c r="CD21" s="1594"/>
      <c r="CE21" s="1594"/>
      <c r="CF21" s="1594"/>
      <c r="CG21" s="1594"/>
      <c r="CH21" s="1594"/>
      <c r="CI21" s="1594"/>
      <c r="CJ21" s="1594"/>
      <c r="CK21" s="1594"/>
      <c r="CL21" s="1594"/>
      <c r="CM21" s="1594"/>
      <c r="CN21" s="1594"/>
      <c r="CO21" s="1594"/>
      <c r="CP21" s="1594"/>
      <c r="CQ21" s="1594"/>
      <c r="CR21" s="1594"/>
      <c r="CS21" s="1594"/>
      <c r="CT21" s="1594"/>
      <c r="CU21" s="1594"/>
      <c r="CV21" s="1594"/>
      <c r="CW21" s="1594"/>
      <c r="CX21" s="1594"/>
      <c r="CY21" s="1594"/>
      <c r="CZ21" s="1594"/>
    </row>
    <row r="22" spans="1:104">
      <c r="A22" s="1584"/>
      <c r="B22" s="1587" t="s">
        <v>1133</v>
      </c>
      <c r="C22" s="1587"/>
      <c r="D22" s="632">
        <v>1089740</v>
      </c>
      <c r="E22" s="1587"/>
      <c r="F22" s="632">
        <v>873740</v>
      </c>
      <c r="G22" s="1587"/>
      <c r="H22" s="332"/>
      <c r="I22" s="1587"/>
      <c r="J22" s="1587"/>
      <c r="K22" s="1587"/>
      <c r="L22" s="1587"/>
      <c r="M22" s="1587"/>
      <c r="N22" s="1587"/>
      <c r="O22" s="1587"/>
      <c r="P22" s="1587"/>
      <c r="Q22" s="1133">
        <v>873740</v>
      </c>
      <c r="R22" s="317"/>
      <c r="S22" s="1594"/>
      <c r="T22" s="534"/>
      <c r="U22" s="626">
        <v>1060440</v>
      </c>
      <c r="V22" s="499"/>
      <c r="W22" s="317"/>
      <c r="X22" s="317"/>
      <c r="Y22" s="317"/>
      <c r="Z22" s="317"/>
      <c r="AA22" s="1594"/>
      <c r="AB22" s="1594"/>
      <c r="AC22" s="317"/>
      <c r="AD22" s="1594"/>
      <c r="AE22" s="1594"/>
      <c r="AF22" s="1594"/>
      <c r="AG22" s="1594"/>
      <c r="AH22" s="1594"/>
      <c r="AI22" s="1594"/>
      <c r="AJ22" s="1594"/>
      <c r="AK22" s="1594"/>
      <c r="AL22" s="1594"/>
      <c r="AM22" s="1594"/>
      <c r="AN22" s="1594"/>
      <c r="AO22" s="1594"/>
      <c r="AP22" s="1594"/>
      <c r="AQ22" s="1594"/>
      <c r="AR22" s="1594"/>
      <c r="AS22" s="1594"/>
      <c r="AT22" s="1594"/>
      <c r="AU22" s="1594"/>
      <c r="AV22" s="1594"/>
      <c r="AW22" s="1594"/>
      <c r="AX22" s="1594"/>
      <c r="AY22" s="1594"/>
      <c r="AZ22" s="1594"/>
      <c r="BA22" s="1594"/>
      <c r="BB22" s="1594"/>
      <c r="BC22" s="1594"/>
      <c r="BD22" s="1594"/>
      <c r="BE22" s="1594"/>
      <c r="BF22" s="1594"/>
      <c r="BG22" s="1594"/>
      <c r="BH22" s="1594"/>
      <c r="BI22" s="1594"/>
      <c r="BJ22" s="1594"/>
      <c r="BK22" s="1594"/>
      <c r="BL22" s="1594"/>
      <c r="BM22" s="1594"/>
      <c r="BN22" s="1594"/>
      <c r="BO22" s="1594"/>
      <c r="BP22" s="1594"/>
      <c r="BQ22" s="1594"/>
      <c r="BR22" s="1594"/>
      <c r="BS22" s="1594"/>
      <c r="BT22" s="1594"/>
      <c r="BU22" s="1594"/>
      <c r="BV22" s="1594"/>
      <c r="BW22" s="1594"/>
      <c r="BX22" s="1594"/>
      <c r="BY22" s="1594"/>
      <c r="BZ22" s="1594"/>
      <c r="CA22" s="1594"/>
      <c r="CB22" s="1594"/>
      <c r="CC22" s="1594"/>
      <c r="CD22" s="1594"/>
      <c r="CE22" s="1594"/>
      <c r="CF22" s="1594"/>
      <c r="CG22" s="1594"/>
      <c r="CH22" s="1594"/>
      <c r="CI22" s="1594"/>
      <c r="CJ22" s="1594"/>
      <c r="CK22" s="1594"/>
      <c r="CL22" s="1594"/>
      <c r="CM22" s="1594"/>
      <c r="CN22" s="1594"/>
      <c r="CO22" s="1594"/>
      <c r="CP22" s="1594"/>
      <c r="CQ22" s="1594"/>
      <c r="CR22" s="1594"/>
      <c r="CS22" s="1594"/>
      <c r="CT22" s="1594"/>
      <c r="CU22" s="1594"/>
      <c r="CV22" s="1594"/>
      <c r="CW22" s="1594"/>
      <c r="CX22" s="1594"/>
      <c r="CY22" s="1594"/>
      <c r="CZ22" s="1594"/>
    </row>
    <row r="23" spans="1:104">
      <c r="A23" s="1584"/>
      <c r="B23" s="1587" t="s">
        <v>988</v>
      </c>
      <c r="C23" s="1587"/>
      <c r="D23" s="632">
        <f>22476000+33984000+1250000</f>
        <v>57710000</v>
      </c>
      <c r="E23" s="1587"/>
      <c r="F23" s="632">
        <v>41005000</v>
      </c>
      <c r="G23" s="1587"/>
      <c r="H23" s="332"/>
      <c r="I23" s="1587"/>
      <c r="J23" s="1587"/>
      <c r="K23" s="1587"/>
      <c r="L23" s="1587"/>
      <c r="M23" s="1587"/>
      <c r="N23" s="1587"/>
      <c r="O23" s="1587"/>
      <c r="P23" s="1587"/>
      <c r="Q23" s="1133">
        <f>22275000+17279000+1250000</f>
        <v>40804000</v>
      </c>
      <c r="R23" s="317"/>
      <c r="S23" s="1594"/>
      <c r="T23" s="534"/>
      <c r="U23" s="626">
        <v>40574000</v>
      </c>
      <c r="V23" s="499"/>
      <c r="W23" s="317"/>
      <c r="X23" s="317"/>
      <c r="Y23" s="317"/>
      <c r="Z23" s="317"/>
      <c r="AA23" s="1594"/>
      <c r="AB23" s="1594"/>
      <c r="AC23" s="317"/>
      <c r="AD23" s="1594"/>
      <c r="AE23" s="1594"/>
      <c r="AF23" s="1594"/>
      <c r="AG23" s="1594"/>
      <c r="AH23" s="1594"/>
      <c r="AI23" s="1594"/>
      <c r="AJ23" s="1594"/>
      <c r="AK23" s="1594"/>
      <c r="AL23" s="1594"/>
      <c r="AM23" s="1594"/>
      <c r="AN23" s="1594"/>
      <c r="AO23" s="1594"/>
      <c r="AP23" s="1594"/>
      <c r="AQ23" s="1594"/>
      <c r="AR23" s="1594"/>
      <c r="AS23" s="1594"/>
      <c r="AT23" s="1594"/>
      <c r="AU23" s="1594"/>
      <c r="AV23" s="1594"/>
      <c r="AW23" s="1594"/>
      <c r="AX23" s="1594"/>
      <c r="AY23" s="1594"/>
      <c r="AZ23" s="1594"/>
      <c r="BA23" s="1594"/>
      <c r="BB23" s="1594"/>
      <c r="BC23" s="1594"/>
      <c r="BD23" s="1594"/>
      <c r="BE23" s="1594"/>
      <c r="BF23" s="1594"/>
      <c r="BG23" s="1594"/>
      <c r="BH23" s="1594"/>
      <c r="BI23" s="1594"/>
      <c r="BJ23" s="1594"/>
      <c r="BK23" s="1594"/>
      <c r="BL23" s="1594"/>
      <c r="BM23" s="1594"/>
      <c r="BN23" s="1594"/>
      <c r="BO23" s="1594"/>
      <c r="BP23" s="1594"/>
      <c r="BQ23" s="1594"/>
      <c r="BR23" s="1594"/>
      <c r="BS23" s="1594"/>
      <c r="BT23" s="1594"/>
      <c r="BU23" s="1594"/>
      <c r="BV23" s="1594"/>
      <c r="BW23" s="1594"/>
      <c r="BX23" s="1594"/>
      <c r="BY23" s="1594"/>
      <c r="BZ23" s="1594"/>
      <c r="CA23" s="1594"/>
      <c r="CB23" s="1594"/>
      <c r="CC23" s="1594"/>
      <c r="CD23" s="1594"/>
      <c r="CE23" s="1594"/>
      <c r="CF23" s="1594"/>
      <c r="CG23" s="1594"/>
      <c r="CH23" s="1594"/>
      <c r="CI23" s="1594"/>
      <c r="CJ23" s="1594"/>
      <c r="CK23" s="1594"/>
      <c r="CL23" s="1594"/>
      <c r="CM23" s="1594"/>
      <c r="CN23" s="1594"/>
      <c r="CO23" s="1594"/>
      <c r="CP23" s="1594"/>
      <c r="CQ23" s="1594"/>
      <c r="CR23" s="1594"/>
      <c r="CS23" s="1594"/>
      <c r="CT23" s="1594"/>
      <c r="CU23" s="1594"/>
      <c r="CV23" s="1594"/>
      <c r="CW23" s="1594"/>
      <c r="CX23" s="1594"/>
      <c r="CY23" s="1594"/>
      <c r="CZ23" s="1594"/>
    </row>
    <row r="24" spans="1:104">
      <c r="A24" s="1584"/>
      <c r="B24" s="1587" t="s">
        <v>1240</v>
      </c>
      <c r="C24" s="1587"/>
      <c r="D24" s="632">
        <v>103603000</v>
      </c>
      <c r="E24" s="1587"/>
      <c r="F24" s="632">
        <v>103603000</v>
      </c>
      <c r="G24" s="1587"/>
      <c r="H24" s="332"/>
      <c r="I24" s="1587"/>
      <c r="J24" s="1587"/>
      <c r="K24" s="1587"/>
      <c r="L24" s="1587"/>
      <c r="M24" s="1587"/>
      <c r="N24" s="1587"/>
      <c r="O24" s="1587"/>
      <c r="P24" s="1587"/>
      <c r="Q24" s="1133">
        <v>103603000</v>
      </c>
      <c r="R24" s="317"/>
      <c r="S24" s="1594"/>
      <c r="T24" s="534"/>
      <c r="U24" s="626">
        <v>103454000</v>
      </c>
      <c r="V24" s="499"/>
      <c r="W24" s="316" t="s">
        <v>36</v>
      </c>
      <c r="X24" s="317"/>
      <c r="Y24" s="317"/>
      <c r="Z24" s="317"/>
      <c r="AA24" s="1594"/>
      <c r="AB24" s="1594"/>
      <c r="AC24" s="317"/>
      <c r="AD24" s="1594"/>
      <c r="AE24" s="1594"/>
      <c r="AF24" s="1594"/>
      <c r="AG24" s="1594"/>
      <c r="AH24" s="1594"/>
      <c r="AI24" s="1594"/>
      <c r="AJ24" s="1594"/>
      <c r="AK24" s="1594"/>
      <c r="AL24" s="1594"/>
      <c r="AM24" s="1594"/>
      <c r="AN24" s="1594"/>
      <c r="AO24" s="1594"/>
      <c r="AP24" s="1594"/>
      <c r="AQ24" s="1594"/>
      <c r="AR24" s="1594"/>
      <c r="AS24" s="1594"/>
      <c r="AT24" s="1594"/>
      <c r="AU24" s="1594"/>
      <c r="AV24" s="1594"/>
      <c r="AW24" s="1594"/>
      <c r="AX24" s="1594"/>
      <c r="AY24" s="1594"/>
      <c r="AZ24" s="1594"/>
      <c r="BA24" s="1594"/>
      <c r="BB24" s="1594"/>
      <c r="BC24" s="1594"/>
      <c r="BD24" s="1594"/>
      <c r="BE24" s="1594"/>
      <c r="BF24" s="1594"/>
      <c r="BG24" s="1594"/>
      <c r="BH24" s="1594"/>
      <c r="BI24" s="1594"/>
      <c r="BJ24" s="1594"/>
      <c r="BK24" s="1594"/>
      <c r="BL24" s="1594"/>
      <c r="BM24" s="1594"/>
      <c r="BN24" s="1594"/>
      <c r="BO24" s="1594"/>
      <c r="BP24" s="1594"/>
      <c r="BQ24" s="1594"/>
      <c r="BR24" s="1594"/>
      <c r="BS24" s="1594"/>
      <c r="BT24" s="1594"/>
      <c r="BU24" s="1594"/>
      <c r="BV24" s="1594"/>
      <c r="BW24" s="1594"/>
      <c r="BX24" s="1594"/>
      <c r="BY24" s="1594"/>
      <c r="BZ24" s="1594"/>
      <c r="CA24" s="1594"/>
      <c r="CB24" s="1594"/>
      <c r="CC24" s="1594"/>
      <c r="CD24" s="1594"/>
      <c r="CE24" s="1594"/>
      <c r="CF24" s="1594"/>
      <c r="CG24" s="1594"/>
      <c r="CH24" s="1594"/>
      <c r="CI24" s="1594"/>
      <c r="CJ24" s="1594"/>
      <c r="CK24" s="1594"/>
      <c r="CL24" s="1594"/>
      <c r="CM24" s="1594"/>
      <c r="CN24" s="1594"/>
      <c r="CO24" s="1594"/>
      <c r="CP24" s="1594"/>
      <c r="CQ24" s="1594"/>
      <c r="CR24" s="1594"/>
      <c r="CS24" s="1594"/>
      <c r="CT24" s="1594"/>
      <c r="CU24" s="1594"/>
      <c r="CV24" s="1594"/>
      <c r="CW24" s="1594"/>
      <c r="CX24" s="1594"/>
      <c r="CY24" s="1594"/>
      <c r="CZ24" s="1594"/>
    </row>
    <row r="25" spans="1:104">
      <c r="A25" s="1584"/>
      <c r="B25" s="1587" t="s">
        <v>1134</v>
      </c>
      <c r="C25" s="1587"/>
      <c r="D25" s="632">
        <v>1000000</v>
      </c>
      <c r="E25" s="1587"/>
      <c r="F25" s="632">
        <v>1000000</v>
      </c>
      <c r="G25" s="1587"/>
      <c r="H25" s="332"/>
      <c r="I25" s="1587"/>
      <c r="J25" s="1587"/>
      <c r="K25" s="1587"/>
      <c r="L25" s="1587"/>
      <c r="M25" s="1587"/>
      <c r="N25" s="1587"/>
      <c r="O25" s="1587"/>
      <c r="P25" s="1587"/>
      <c r="Q25" s="1133">
        <v>500000</v>
      </c>
      <c r="R25" s="317"/>
      <c r="S25" s="1594"/>
      <c r="T25" s="534"/>
      <c r="U25" s="626">
        <v>800000</v>
      </c>
      <c r="V25" s="499"/>
      <c r="W25" s="317"/>
      <c r="X25" s="317"/>
      <c r="Y25" s="317"/>
      <c r="Z25" s="317"/>
      <c r="AA25" s="1594"/>
      <c r="AB25" s="1594"/>
      <c r="AC25" s="317"/>
      <c r="AD25" s="1594"/>
      <c r="AE25" s="1594"/>
      <c r="AF25" s="1594"/>
      <c r="AG25" s="1594"/>
      <c r="AH25" s="1594"/>
      <c r="AI25" s="1594"/>
      <c r="AJ25" s="1594"/>
      <c r="AK25" s="1594"/>
      <c r="AL25" s="1594"/>
      <c r="AM25" s="1594"/>
      <c r="AN25" s="1594"/>
      <c r="AO25" s="1594"/>
      <c r="AP25" s="1594"/>
      <c r="AQ25" s="1594"/>
      <c r="AR25" s="1594"/>
      <c r="AS25" s="1594"/>
      <c r="AT25" s="1594"/>
      <c r="AU25" s="1594"/>
      <c r="AV25" s="1594"/>
      <c r="AW25" s="1594"/>
      <c r="AX25" s="1594"/>
      <c r="AY25" s="1594"/>
      <c r="AZ25" s="1594"/>
      <c r="BA25" s="1594"/>
      <c r="BB25" s="1594"/>
      <c r="BC25" s="1594"/>
      <c r="BD25" s="1594"/>
      <c r="BE25" s="1594"/>
      <c r="BF25" s="1594"/>
      <c r="BG25" s="1594"/>
      <c r="BH25" s="1594"/>
      <c r="BI25" s="1594"/>
      <c r="BJ25" s="1594"/>
      <c r="BK25" s="1594"/>
      <c r="BL25" s="1594"/>
      <c r="BM25" s="1594"/>
      <c r="BN25" s="1594"/>
      <c r="BO25" s="1594"/>
      <c r="BP25" s="1594"/>
      <c r="BQ25" s="1594"/>
      <c r="BR25" s="1594"/>
      <c r="BS25" s="1594"/>
      <c r="BT25" s="1594"/>
      <c r="BU25" s="1594"/>
      <c r="BV25" s="1594"/>
      <c r="BW25" s="1594"/>
      <c r="BX25" s="1594"/>
      <c r="BY25" s="1594"/>
      <c r="BZ25" s="1594"/>
      <c r="CA25" s="1594"/>
      <c r="CB25" s="1594"/>
      <c r="CC25" s="1594"/>
      <c r="CD25" s="1594"/>
      <c r="CE25" s="1594"/>
      <c r="CF25" s="1594"/>
      <c r="CG25" s="1594"/>
      <c r="CH25" s="1594"/>
      <c r="CI25" s="1594"/>
      <c r="CJ25" s="1594"/>
      <c r="CK25" s="1594"/>
      <c r="CL25" s="1594"/>
      <c r="CM25" s="1594"/>
      <c r="CN25" s="1594"/>
      <c r="CO25" s="1594"/>
      <c r="CP25" s="1594"/>
      <c r="CQ25" s="1594"/>
      <c r="CR25" s="1594"/>
      <c r="CS25" s="1594"/>
      <c r="CT25" s="1594"/>
      <c r="CU25" s="1594"/>
      <c r="CV25" s="1594"/>
      <c r="CW25" s="1594"/>
      <c r="CX25" s="1594"/>
      <c r="CY25" s="1594"/>
      <c r="CZ25" s="1594"/>
    </row>
    <row r="26" spans="1:104">
      <c r="A26" s="1584"/>
      <c r="B26" s="1587" t="s">
        <v>1135</v>
      </c>
      <c r="C26" s="1587"/>
      <c r="D26" s="632">
        <v>22130000</v>
      </c>
      <c r="E26" s="1587"/>
      <c r="F26" s="632">
        <v>22130000</v>
      </c>
      <c r="G26" s="1587"/>
      <c r="H26" s="332"/>
      <c r="I26" s="1587"/>
      <c r="J26" s="1587"/>
      <c r="K26" s="1587"/>
      <c r="L26" s="1587"/>
      <c r="M26" s="1587"/>
      <c r="N26" s="1587"/>
      <c r="O26" s="1587"/>
      <c r="P26" s="1587"/>
      <c r="Q26" s="1133">
        <v>22390000</v>
      </c>
      <c r="R26" s="317"/>
      <c r="S26" s="1594"/>
      <c r="T26" s="534"/>
      <c r="U26" s="626">
        <v>22010000</v>
      </c>
      <c r="V26" s="499"/>
      <c r="W26" s="317"/>
      <c r="X26" s="317"/>
      <c r="Y26" s="317"/>
      <c r="Z26" s="317"/>
      <c r="AA26" s="1594"/>
      <c r="AB26" s="1594"/>
      <c r="AC26" s="317"/>
      <c r="AD26" s="1594"/>
      <c r="AE26" s="1594"/>
      <c r="AF26" s="1594"/>
      <c r="AG26" s="1594"/>
      <c r="AH26" s="1594"/>
      <c r="AI26" s="1594"/>
      <c r="AJ26" s="1594"/>
      <c r="AK26" s="1594"/>
      <c r="AL26" s="1594"/>
      <c r="AM26" s="1594"/>
      <c r="AN26" s="1594"/>
      <c r="AO26" s="1594"/>
      <c r="AP26" s="1594"/>
      <c r="AQ26" s="1594"/>
      <c r="AR26" s="1594"/>
      <c r="AS26" s="1594"/>
      <c r="AT26" s="1594"/>
      <c r="AU26" s="1594"/>
      <c r="AV26" s="1594"/>
      <c r="AW26" s="1594"/>
      <c r="AX26" s="1594"/>
      <c r="AY26" s="1594"/>
      <c r="AZ26" s="1594"/>
      <c r="BA26" s="1594"/>
      <c r="BB26" s="1594"/>
      <c r="BC26" s="1594"/>
      <c r="BD26" s="1594"/>
      <c r="BE26" s="1594"/>
      <c r="BF26" s="1594"/>
      <c r="BG26" s="1594"/>
      <c r="BH26" s="1594"/>
      <c r="BI26" s="1594"/>
      <c r="BJ26" s="1594"/>
      <c r="BK26" s="1594"/>
      <c r="BL26" s="1594"/>
      <c r="BM26" s="1594"/>
      <c r="BN26" s="1594"/>
      <c r="BO26" s="1594"/>
      <c r="BP26" s="1594"/>
      <c r="BQ26" s="1594"/>
      <c r="BR26" s="1594"/>
      <c r="BS26" s="1594"/>
      <c r="BT26" s="1594"/>
      <c r="BU26" s="1594"/>
      <c r="BV26" s="1594"/>
      <c r="BW26" s="1594"/>
      <c r="BX26" s="1594"/>
      <c r="BY26" s="1594"/>
      <c r="BZ26" s="1594"/>
      <c r="CA26" s="1594"/>
      <c r="CB26" s="1594"/>
      <c r="CC26" s="1594"/>
      <c r="CD26" s="1594"/>
      <c r="CE26" s="1594"/>
      <c r="CF26" s="1594"/>
      <c r="CG26" s="1594"/>
      <c r="CH26" s="1594"/>
      <c r="CI26" s="1594"/>
      <c r="CJ26" s="1594"/>
      <c r="CK26" s="1594"/>
      <c r="CL26" s="1594"/>
      <c r="CM26" s="1594"/>
      <c r="CN26" s="1594"/>
      <c r="CO26" s="1594"/>
      <c r="CP26" s="1594"/>
      <c r="CQ26" s="1594"/>
      <c r="CR26" s="1594"/>
      <c r="CS26" s="1594"/>
      <c r="CT26" s="1594"/>
      <c r="CU26" s="1594"/>
      <c r="CV26" s="1594"/>
      <c r="CW26" s="1594"/>
      <c r="CX26" s="1594"/>
      <c r="CY26" s="1594"/>
      <c r="CZ26" s="1594"/>
    </row>
    <row r="27" spans="1:104">
      <c r="A27" s="1584"/>
      <c r="B27" s="1587" t="s">
        <v>1334</v>
      </c>
      <c r="C27" s="1587"/>
      <c r="D27" s="632">
        <v>99201600</v>
      </c>
      <c r="E27" s="1587"/>
      <c r="F27" s="632">
        <v>89977950</v>
      </c>
      <c r="G27" s="1587"/>
      <c r="H27" s="332"/>
      <c r="I27" s="1587"/>
      <c r="J27" s="1587"/>
      <c r="K27" s="1587"/>
      <c r="L27" s="1587"/>
      <c r="M27" s="1587"/>
      <c r="N27" s="1587"/>
      <c r="O27" s="1587"/>
      <c r="P27" s="1587"/>
      <c r="Q27" s="1133">
        <v>89548650</v>
      </c>
      <c r="R27" s="317"/>
      <c r="S27" s="1594"/>
      <c r="T27" s="534"/>
      <c r="U27" s="626">
        <v>91057650</v>
      </c>
      <c r="V27" s="499"/>
      <c r="W27" s="317"/>
      <c r="X27" s="317"/>
      <c r="Y27" s="317"/>
      <c r="Z27" s="317"/>
      <c r="AA27" s="1594"/>
      <c r="AB27" s="1594"/>
      <c r="AC27" s="317"/>
      <c r="AD27" s="1594"/>
      <c r="AE27" s="1594"/>
      <c r="AF27" s="1594"/>
      <c r="AG27" s="1594"/>
      <c r="AH27" s="1594"/>
      <c r="AI27" s="1594"/>
      <c r="AJ27" s="1594"/>
      <c r="AK27" s="1594"/>
      <c r="AL27" s="1594"/>
      <c r="AM27" s="1594"/>
      <c r="AN27" s="1594"/>
      <c r="AO27" s="1594"/>
      <c r="AP27" s="1594"/>
      <c r="AQ27" s="1594"/>
      <c r="AR27" s="1594"/>
      <c r="AS27" s="1594"/>
      <c r="AT27" s="1594"/>
      <c r="AU27" s="1594"/>
      <c r="AV27" s="1594"/>
      <c r="AW27" s="1594"/>
      <c r="AX27" s="1594"/>
      <c r="AY27" s="1594"/>
      <c r="AZ27" s="1594"/>
      <c r="BA27" s="1594"/>
      <c r="BB27" s="1594"/>
      <c r="BC27" s="1594"/>
      <c r="BD27" s="1594"/>
      <c r="BE27" s="1594"/>
      <c r="BF27" s="1594"/>
      <c r="BG27" s="1594"/>
      <c r="BH27" s="1594"/>
      <c r="BI27" s="1594"/>
      <c r="BJ27" s="1594"/>
      <c r="BK27" s="1594"/>
      <c r="BL27" s="1594"/>
      <c r="BM27" s="1594"/>
      <c r="BN27" s="1594"/>
      <c r="BO27" s="1594"/>
      <c r="BP27" s="1594"/>
      <c r="BQ27" s="1594"/>
      <c r="BR27" s="1594"/>
      <c r="BS27" s="1594"/>
      <c r="BT27" s="1594"/>
      <c r="BU27" s="1594"/>
      <c r="BV27" s="1594"/>
      <c r="BW27" s="1594"/>
      <c r="BX27" s="1594"/>
      <c r="BY27" s="1594"/>
      <c r="BZ27" s="1594"/>
      <c r="CA27" s="1594"/>
      <c r="CB27" s="1594"/>
      <c r="CC27" s="1594"/>
      <c r="CD27" s="1594"/>
      <c r="CE27" s="1594"/>
      <c r="CF27" s="1594"/>
      <c r="CG27" s="1594"/>
      <c r="CH27" s="1594"/>
      <c r="CI27" s="1594"/>
      <c r="CJ27" s="1594"/>
      <c r="CK27" s="1594"/>
      <c r="CL27" s="1594"/>
      <c r="CM27" s="1594"/>
      <c r="CN27" s="1594"/>
      <c r="CO27" s="1594"/>
      <c r="CP27" s="1594"/>
      <c r="CQ27" s="1594"/>
      <c r="CR27" s="1594"/>
      <c r="CS27" s="1594"/>
      <c r="CT27" s="1594"/>
      <c r="CU27" s="1594"/>
      <c r="CV27" s="1594"/>
      <c r="CW27" s="1594"/>
      <c r="CX27" s="1594"/>
      <c r="CY27" s="1594"/>
      <c r="CZ27" s="1594"/>
    </row>
    <row r="28" spans="1:104">
      <c r="A28" s="1584"/>
      <c r="B28" s="1587" t="s">
        <v>1238</v>
      </c>
      <c r="C28" s="1587"/>
      <c r="D28" s="632"/>
      <c r="E28" s="1587"/>
      <c r="F28" s="632"/>
      <c r="G28" s="1587"/>
      <c r="H28" s="332"/>
      <c r="I28" s="1587"/>
      <c r="J28" s="1587"/>
      <c r="K28" s="1587"/>
      <c r="L28" s="1587"/>
      <c r="M28" s="1587"/>
      <c r="N28" s="1587"/>
      <c r="O28" s="1587"/>
      <c r="P28" s="1587"/>
      <c r="Q28" s="1133"/>
      <c r="R28" s="317"/>
      <c r="S28" s="1594"/>
      <c r="T28" s="534"/>
      <c r="U28" s="626"/>
      <c r="V28" s="499"/>
      <c r="W28" s="317"/>
      <c r="X28" s="317"/>
      <c r="Y28" s="317"/>
      <c r="Z28" s="317"/>
      <c r="AA28" s="1594"/>
      <c r="AB28" s="1594"/>
      <c r="AC28" s="317"/>
      <c r="AD28" s="1594"/>
      <c r="AE28" s="1594"/>
      <c r="AF28" s="1594"/>
      <c r="AG28" s="1594"/>
      <c r="AH28" s="1594"/>
      <c r="AI28" s="1594"/>
      <c r="AJ28" s="1594"/>
      <c r="AK28" s="1594"/>
      <c r="AL28" s="1594"/>
      <c r="AM28" s="1594"/>
      <c r="AN28" s="1594"/>
      <c r="AO28" s="1594"/>
      <c r="AP28" s="1594"/>
      <c r="AQ28" s="1594"/>
      <c r="AR28" s="1594"/>
      <c r="AS28" s="1594"/>
      <c r="AT28" s="1594"/>
      <c r="AU28" s="1594"/>
      <c r="AV28" s="1594"/>
      <c r="AW28" s="1594"/>
      <c r="AX28" s="1594"/>
      <c r="AY28" s="1594"/>
      <c r="AZ28" s="1594"/>
      <c r="BA28" s="1594"/>
      <c r="BB28" s="1594"/>
      <c r="BC28" s="1594"/>
      <c r="BD28" s="1594"/>
      <c r="BE28" s="1594"/>
      <c r="BF28" s="1594"/>
      <c r="BG28" s="1594"/>
      <c r="BH28" s="1594"/>
      <c r="BI28" s="1594"/>
      <c r="BJ28" s="1594"/>
      <c r="BK28" s="1594"/>
      <c r="BL28" s="1594"/>
      <c r="BM28" s="1594"/>
      <c r="BN28" s="1594"/>
      <c r="BO28" s="1594"/>
      <c r="BP28" s="1594"/>
      <c r="BQ28" s="1594"/>
      <c r="BR28" s="1594"/>
      <c r="BS28" s="1594"/>
      <c r="BT28" s="1594"/>
      <c r="BU28" s="1594"/>
      <c r="BV28" s="1594"/>
      <c r="BW28" s="1594"/>
      <c r="BX28" s="1594"/>
      <c r="BY28" s="1594"/>
      <c r="BZ28" s="1594"/>
      <c r="CA28" s="1594"/>
      <c r="CB28" s="1594"/>
      <c r="CC28" s="1594"/>
      <c r="CD28" s="1594"/>
      <c r="CE28" s="1594"/>
      <c r="CF28" s="1594"/>
      <c r="CG28" s="1594"/>
      <c r="CH28" s="1594"/>
      <c r="CI28" s="1594"/>
      <c r="CJ28" s="1594"/>
      <c r="CK28" s="1594"/>
      <c r="CL28" s="1594"/>
      <c r="CM28" s="1594"/>
      <c r="CN28" s="1594"/>
      <c r="CO28" s="1594"/>
      <c r="CP28" s="1594"/>
      <c r="CQ28" s="1594"/>
      <c r="CR28" s="1594"/>
      <c r="CS28" s="1594"/>
      <c r="CT28" s="1594"/>
      <c r="CU28" s="1594"/>
      <c r="CV28" s="1594"/>
      <c r="CW28" s="1594"/>
      <c r="CX28" s="1594"/>
      <c r="CY28" s="1594"/>
      <c r="CZ28" s="1594"/>
    </row>
    <row r="29" spans="1:104">
      <c r="A29" s="1584"/>
      <c r="B29" s="1587" t="s">
        <v>1136</v>
      </c>
      <c r="C29" s="1587"/>
      <c r="D29" s="632">
        <v>17877000</v>
      </c>
      <c r="E29" s="1587"/>
      <c r="F29" s="632">
        <v>17877000</v>
      </c>
      <c r="G29" s="1587"/>
      <c r="H29" s="332"/>
      <c r="I29" s="1587"/>
      <c r="J29" s="1587"/>
      <c r="K29" s="1587"/>
      <c r="L29" s="1587"/>
      <c r="M29" s="1587"/>
      <c r="N29" s="1587"/>
      <c r="O29" s="1587"/>
      <c r="P29" s="1587"/>
      <c r="Q29" s="1133">
        <v>13887000</v>
      </c>
      <c r="R29" s="317"/>
      <c r="S29" s="1594"/>
      <c r="T29" s="534"/>
      <c r="U29" s="626">
        <v>13187000</v>
      </c>
      <c r="V29" s="499"/>
      <c r="W29" s="317"/>
      <c r="X29" s="317"/>
      <c r="Y29" s="317"/>
      <c r="Z29" s="317"/>
      <c r="AA29" s="1594"/>
      <c r="AB29" s="1594"/>
      <c r="AC29" s="317"/>
      <c r="AD29" s="1594"/>
      <c r="AE29" s="1594"/>
      <c r="AF29" s="1594"/>
      <c r="AG29" s="1594"/>
      <c r="AH29" s="1594"/>
      <c r="AI29" s="1594"/>
      <c r="AJ29" s="1594"/>
      <c r="AK29" s="1594"/>
      <c r="AL29" s="1594"/>
      <c r="AM29" s="1594"/>
      <c r="AN29" s="1594"/>
      <c r="AO29" s="1594"/>
      <c r="AP29" s="1594"/>
      <c r="AQ29" s="1594"/>
      <c r="AR29" s="1594"/>
      <c r="AS29" s="1594"/>
      <c r="AT29" s="1594"/>
      <c r="AU29" s="1594"/>
      <c r="AV29" s="1594"/>
      <c r="AW29" s="1594"/>
      <c r="AX29" s="1594"/>
      <c r="AY29" s="1594"/>
      <c r="AZ29" s="1594"/>
      <c r="BA29" s="1594"/>
      <c r="BB29" s="1594"/>
      <c r="BC29" s="1594"/>
      <c r="BD29" s="1594"/>
      <c r="BE29" s="1594"/>
      <c r="BF29" s="1594"/>
      <c r="BG29" s="1594"/>
      <c r="BH29" s="1594"/>
      <c r="BI29" s="1594"/>
      <c r="BJ29" s="1594"/>
      <c r="BK29" s="1594"/>
      <c r="BL29" s="1594"/>
      <c r="BM29" s="1594"/>
      <c r="BN29" s="1594"/>
      <c r="BO29" s="1594"/>
      <c r="BP29" s="1594"/>
      <c r="BQ29" s="1594"/>
      <c r="BR29" s="1594"/>
      <c r="BS29" s="1594"/>
      <c r="BT29" s="1594"/>
      <c r="BU29" s="1594"/>
      <c r="BV29" s="1594"/>
      <c r="BW29" s="1594"/>
      <c r="BX29" s="1594"/>
      <c r="BY29" s="1594"/>
      <c r="BZ29" s="1594"/>
      <c r="CA29" s="1594"/>
      <c r="CB29" s="1594"/>
      <c r="CC29" s="1594"/>
      <c r="CD29" s="1594"/>
      <c r="CE29" s="1594"/>
      <c r="CF29" s="1594"/>
      <c r="CG29" s="1594"/>
      <c r="CH29" s="1594"/>
      <c r="CI29" s="1594"/>
      <c r="CJ29" s="1594"/>
      <c r="CK29" s="1594"/>
      <c r="CL29" s="1594"/>
      <c r="CM29" s="1594"/>
      <c r="CN29" s="1594"/>
      <c r="CO29" s="1594"/>
      <c r="CP29" s="1594"/>
      <c r="CQ29" s="1594"/>
      <c r="CR29" s="1594"/>
      <c r="CS29" s="1594"/>
      <c r="CT29" s="1594"/>
      <c r="CU29" s="1594"/>
      <c r="CV29" s="1594"/>
      <c r="CW29" s="1594"/>
      <c r="CX29" s="1594"/>
      <c r="CY29" s="1594"/>
      <c r="CZ29" s="1594"/>
    </row>
    <row r="30" spans="1:104">
      <c r="A30" s="1584"/>
      <c r="B30" s="1587" t="s">
        <v>2457</v>
      </c>
      <c r="C30" s="1587"/>
      <c r="D30" s="632"/>
      <c r="E30" s="1587"/>
      <c r="F30" s="632"/>
      <c r="G30" s="1587"/>
      <c r="H30" s="332"/>
      <c r="I30" s="1587"/>
      <c r="J30" s="1587"/>
      <c r="K30" s="1587"/>
      <c r="L30" s="1587"/>
      <c r="M30" s="1587"/>
      <c r="N30" s="1587"/>
      <c r="O30" s="1587"/>
      <c r="P30" s="1587"/>
      <c r="Q30" s="1133"/>
      <c r="R30" s="317"/>
      <c r="S30" s="1594"/>
      <c r="T30" s="534"/>
      <c r="U30" s="626"/>
      <c r="V30" s="499"/>
      <c r="W30" s="317"/>
      <c r="X30" s="317"/>
      <c r="Y30" s="317"/>
      <c r="Z30" s="317"/>
      <c r="AA30" s="1594"/>
      <c r="AB30" s="1594"/>
      <c r="AC30" s="317"/>
      <c r="AD30" s="1594"/>
      <c r="AE30" s="1594"/>
      <c r="AF30" s="1594"/>
      <c r="AG30" s="1594"/>
      <c r="AH30" s="1594"/>
      <c r="AI30" s="1594"/>
      <c r="AJ30" s="1594"/>
      <c r="AK30" s="1594"/>
      <c r="AL30" s="1594"/>
      <c r="AM30" s="1594"/>
      <c r="AN30" s="1594"/>
      <c r="AO30" s="1594"/>
      <c r="AP30" s="1594"/>
      <c r="AQ30" s="1594"/>
      <c r="AR30" s="1594"/>
      <c r="AS30" s="1594"/>
      <c r="AT30" s="1594"/>
      <c r="AU30" s="1594"/>
      <c r="AV30" s="1594"/>
      <c r="AW30" s="1594"/>
      <c r="AX30" s="1594"/>
      <c r="AY30" s="1594"/>
      <c r="AZ30" s="1594"/>
      <c r="BA30" s="1594"/>
      <c r="BB30" s="1594"/>
      <c r="BC30" s="1594"/>
      <c r="BD30" s="1594"/>
      <c r="BE30" s="1594"/>
      <c r="BF30" s="1594"/>
      <c r="BG30" s="1594"/>
      <c r="BH30" s="1594"/>
      <c r="BI30" s="1594"/>
      <c r="BJ30" s="1594"/>
      <c r="BK30" s="1594"/>
      <c r="BL30" s="1594"/>
      <c r="BM30" s="1594"/>
      <c r="BN30" s="1594"/>
      <c r="BO30" s="1594"/>
      <c r="BP30" s="1594"/>
      <c r="BQ30" s="1594"/>
      <c r="BR30" s="1594"/>
      <c r="BS30" s="1594"/>
      <c r="BT30" s="1594"/>
      <c r="BU30" s="1594"/>
      <c r="BV30" s="1594"/>
      <c r="BW30" s="1594"/>
      <c r="BX30" s="1594"/>
      <c r="BY30" s="1594"/>
      <c r="BZ30" s="1594"/>
      <c r="CA30" s="1594"/>
      <c r="CB30" s="1594"/>
      <c r="CC30" s="1594"/>
      <c r="CD30" s="1594"/>
      <c r="CE30" s="1594"/>
      <c r="CF30" s="1594"/>
      <c r="CG30" s="1594"/>
      <c r="CH30" s="1594"/>
      <c r="CI30" s="1594"/>
      <c r="CJ30" s="1594"/>
      <c r="CK30" s="1594"/>
      <c r="CL30" s="1594"/>
      <c r="CM30" s="1594"/>
      <c r="CN30" s="1594"/>
      <c r="CO30" s="1594"/>
      <c r="CP30" s="1594"/>
      <c r="CQ30" s="1594"/>
      <c r="CR30" s="1594"/>
      <c r="CS30" s="1594"/>
      <c r="CT30" s="1594"/>
      <c r="CU30" s="1594"/>
      <c r="CV30" s="1594"/>
      <c r="CW30" s="1594"/>
      <c r="CX30" s="1594"/>
      <c r="CY30" s="1594"/>
      <c r="CZ30" s="1594"/>
    </row>
    <row r="31" spans="1:104">
      <c r="A31" s="1584"/>
      <c r="B31" s="1587" t="s">
        <v>2458</v>
      </c>
      <c r="C31" s="1587"/>
      <c r="D31" s="632"/>
      <c r="E31" s="1587"/>
      <c r="F31" s="632"/>
      <c r="G31" s="1587"/>
      <c r="H31" s="332"/>
      <c r="I31" s="1587"/>
      <c r="J31" s="1587"/>
      <c r="K31" s="1587"/>
      <c r="L31" s="1587"/>
      <c r="M31" s="1587"/>
      <c r="N31" s="1587"/>
      <c r="O31" s="1587"/>
      <c r="P31" s="1587"/>
      <c r="Q31" s="1133"/>
      <c r="R31" s="317"/>
      <c r="S31" s="1594"/>
      <c r="T31" s="534"/>
      <c r="U31" s="626"/>
      <c r="V31" s="499"/>
      <c r="W31" s="317"/>
      <c r="X31" s="317"/>
      <c r="Y31" s="317"/>
      <c r="Z31" s="317"/>
      <c r="AA31" s="1594"/>
      <c r="AB31" s="1594"/>
      <c r="AC31" s="317"/>
      <c r="AD31" s="1594"/>
      <c r="AE31" s="1594"/>
      <c r="AF31" s="1594"/>
      <c r="AG31" s="1594"/>
      <c r="AH31" s="1594"/>
      <c r="AI31" s="1594"/>
      <c r="AJ31" s="1594"/>
      <c r="AK31" s="1594"/>
      <c r="AL31" s="1594"/>
      <c r="AM31" s="1594"/>
      <c r="AN31" s="1594"/>
      <c r="AO31" s="1594"/>
      <c r="AP31" s="1594"/>
      <c r="AQ31" s="1594"/>
      <c r="AR31" s="1594"/>
      <c r="AS31" s="1594"/>
      <c r="AT31" s="1594"/>
      <c r="AU31" s="1594"/>
      <c r="AV31" s="1594"/>
      <c r="AW31" s="1594"/>
      <c r="AX31" s="1594"/>
      <c r="AY31" s="1594"/>
      <c r="AZ31" s="1594"/>
      <c r="BA31" s="1594"/>
      <c r="BB31" s="1594"/>
      <c r="BC31" s="1594"/>
      <c r="BD31" s="1594"/>
      <c r="BE31" s="1594"/>
      <c r="BF31" s="1594"/>
      <c r="BG31" s="1594"/>
      <c r="BH31" s="1594"/>
      <c r="BI31" s="1594"/>
      <c r="BJ31" s="1594"/>
      <c r="BK31" s="1594"/>
      <c r="BL31" s="1594"/>
      <c r="BM31" s="1594"/>
      <c r="BN31" s="1594"/>
      <c r="BO31" s="1594"/>
      <c r="BP31" s="1594"/>
      <c r="BQ31" s="1594"/>
      <c r="BR31" s="1594"/>
      <c r="BS31" s="1594"/>
      <c r="BT31" s="1594"/>
      <c r="BU31" s="1594"/>
      <c r="BV31" s="1594"/>
      <c r="BW31" s="1594"/>
      <c r="BX31" s="1594"/>
      <c r="BY31" s="1594"/>
      <c r="BZ31" s="1594"/>
      <c r="CA31" s="1594"/>
      <c r="CB31" s="1594"/>
      <c r="CC31" s="1594"/>
      <c r="CD31" s="1594"/>
      <c r="CE31" s="1594"/>
      <c r="CF31" s="1594"/>
      <c r="CG31" s="1594"/>
      <c r="CH31" s="1594"/>
      <c r="CI31" s="1594"/>
      <c r="CJ31" s="1594"/>
      <c r="CK31" s="1594"/>
      <c r="CL31" s="1594"/>
      <c r="CM31" s="1594"/>
      <c r="CN31" s="1594"/>
      <c r="CO31" s="1594"/>
      <c r="CP31" s="1594"/>
      <c r="CQ31" s="1594"/>
      <c r="CR31" s="1594"/>
      <c r="CS31" s="1594"/>
      <c r="CT31" s="1594"/>
      <c r="CU31" s="1594"/>
      <c r="CV31" s="1594"/>
      <c r="CW31" s="1594"/>
      <c r="CX31" s="1594"/>
      <c r="CY31" s="1594"/>
      <c r="CZ31" s="1594"/>
    </row>
    <row r="32" spans="1:104">
      <c r="A32" s="1584"/>
      <c r="B32" s="1587" t="s">
        <v>1137</v>
      </c>
      <c r="C32" s="1587"/>
      <c r="D32" s="632">
        <v>385000</v>
      </c>
      <c r="E32" s="1587"/>
      <c r="F32" s="632">
        <v>385000</v>
      </c>
      <c r="G32" s="1587"/>
      <c r="H32" s="332"/>
      <c r="I32" s="1587"/>
      <c r="J32" s="1587"/>
      <c r="K32" s="1587"/>
      <c r="L32" s="1587"/>
      <c r="M32" s="1587"/>
      <c r="N32" s="1587"/>
      <c r="O32" s="1587"/>
      <c r="P32" s="1587"/>
      <c r="Q32" s="1133">
        <v>385000</v>
      </c>
      <c r="R32" s="317"/>
      <c r="S32" s="317"/>
      <c r="T32" s="534"/>
      <c r="U32" s="626">
        <v>0</v>
      </c>
      <c r="V32" s="499"/>
      <c r="W32" s="317"/>
      <c r="X32" s="317"/>
      <c r="Y32" s="317"/>
      <c r="Z32" s="317"/>
      <c r="AA32" s="1594"/>
      <c r="AB32" s="1594"/>
      <c r="AC32" s="317"/>
      <c r="AD32" s="1594"/>
      <c r="AE32" s="1594"/>
      <c r="AF32" s="1594"/>
      <c r="AG32" s="1594"/>
      <c r="AH32" s="1594"/>
      <c r="AI32" s="1594"/>
      <c r="AJ32" s="1594"/>
      <c r="AK32" s="1594"/>
      <c r="AL32" s="1594"/>
      <c r="AM32" s="1594"/>
      <c r="AN32" s="1594"/>
      <c r="AO32" s="1594"/>
      <c r="AP32" s="1594"/>
      <c r="AQ32" s="1594"/>
      <c r="AR32" s="1594"/>
      <c r="AS32" s="1594"/>
      <c r="AT32" s="1594"/>
      <c r="AU32" s="1594"/>
      <c r="AV32" s="1594"/>
      <c r="AW32" s="1594"/>
      <c r="AX32" s="1594"/>
      <c r="AY32" s="1594"/>
      <c r="AZ32" s="1594"/>
      <c r="BA32" s="1594"/>
      <c r="BB32" s="1594"/>
      <c r="BC32" s="1594"/>
      <c r="BD32" s="1594"/>
      <c r="BE32" s="1594"/>
      <c r="BF32" s="1594"/>
      <c r="BG32" s="1594"/>
      <c r="BH32" s="1594"/>
      <c r="BI32" s="1594"/>
      <c r="BJ32" s="1594"/>
      <c r="BK32" s="1594"/>
      <c r="BL32" s="1594"/>
      <c r="BM32" s="1594"/>
      <c r="BN32" s="1594"/>
      <c r="BO32" s="1594"/>
      <c r="BP32" s="1594"/>
      <c r="BQ32" s="1594"/>
      <c r="BR32" s="1594"/>
      <c r="BS32" s="1594"/>
      <c r="BT32" s="1594"/>
      <c r="BU32" s="1594"/>
      <c r="BV32" s="1594"/>
      <c r="BW32" s="1594"/>
      <c r="BX32" s="1594"/>
      <c r="BY32" s="1594"/>
      <c r="BZ32" s="1594"/>
      <c r="CA32" s="1594"/>
      <c r="CB32" s="1594"/>
      <c r="CC32" s="1594"/>
      <c r="CD32" s="1594"/>
      <c r="CE32" s="1594"/>
      <c r="CF32" s="1594"/>
      <c r="CG32" s="1594"/>
      <c r="CH32" s="1594"/>
      <c r="CI32" s="1594"/>
      <c r="CJ32" s="1594"/>
      <c r="CK32" s="1594"/>
      <c r="CL32" s="1594"/>
      <c r="CM32" s="1594"/>
      <c r="CN32" s="1594"/>
      <c r="CO32" s="1594"/>
      <c r="CP32" s="1594"/>
      <c r="CQ32" s="1594"/>
      <c r="CR32" s="1594"/>
      <c r="CS32" s="1594"/>
      <c r="CT32" s="1594"/>
      <c r="CU32" s="1594"/>
      <c r="CV32" s="1594"/>
      <c r="CW32" s="1594"/>
      <c r="CX32" s="1594"/>
      <c r="CY32" s="1594"/>
      <c r="CZ32" s="1594"/>
    </row>
    <row r="33" spans="1:104">
      <c r="A33" s="1584"/>
      <c r="B33" s="1587" t="s">
        <v>2456</v>
      </c>
      <c r="C33" s="1587"/>
      <c r="D33" s="632"/>
      <c r="E33" s="1587"/>
      <c r="F33" s="632"/>
      <c r="G33" s="1587"/>
      <c r="H33" s="332"/>
      <c r="I33" s="1587"/>
      <c r="J33" s="1587"/>
      <c r="K33" s="1587"/>
      <c r="L33" s="1587"/>
      <c r="M33" s="1587"/>
      <c r="N33" s="1587"/>
      <c r="O33" s="1587"/>
      <c r="P33" s="1587"/>
      <c r="Q33" s="1133"/>
      <c r="R33" s="317"/>
      <c r="S33" s="317"/>
      <c r="T33" s="534"/>
      <c r="U33" s="626"/>
      <c r="V33" s="499"/>
      <c r="W33" s="317"/>
      <c r="X33" s="317"/>
      <c r="Y33" s="317"/>
      <c r="Z33" s="317"/>
      <c r="AA33" s="1594"/>
      <c r="AB33" s="1594"/>
      <c r="AC33" s="317"/>
      <c r="AD33" s="1594"/>
      <c r="AE33" s="1594"/>
      <c r="AF33" s="1594"/>
      <c r="AG33" s="1594"/>
      <c r="AH33" s="1594"/>
      <c r="AI33" s="1594"/>
      <c r="AJ33" s="1594"/>
      <c r="AK33" s="1594"/>
      <c r="AL33" s="1594"/>
      <c r="AM33" s="1594"/>
      <c r="AN33" s="1594"/>
      <c r="AO33" s="1594"/>
      <c r="AP33" s="1594"/>
      <c r="AQ33" s="1594"/>
      <c r="AR33" s="1594"/>
      <c r="AS33" s="1594"/>
      <c r="AT33" s="1594"/>
      <c r="AU33" s="1594"/>
      <c r="AV33" s="1594"/>
      <c r="AW33" s="1594"/>
      <c r="AX33" s="1594"/>
      <c r="AY33" s="1594"/>
      <c r="AZ33" s="1594"/>
      <c r="BA33" s="1594"/>
      <c r="BB33" s="1594"/>
      <c r="BC33" s="1594"/>
      <c r="BD33" s="1594"/>
      <c r="BE33" s="1594"/>
      <c r="BF33" s="1594"/>
      <c r="BG33" s="1594"/>
      <c r="BH33" s="1594"/>
      <c r="BI33" s="1594"/>
      <c r="BJ33" s="1594"/>
      <c r="BK33" s="1594"/>
      <c r="BL33" s="1594"/>
      <c r="BM33" s="1594"/>
      <c r="BN33" s="1594"/>
      <c r="BO33" s="1594"/>
      <c r="BP33" s="1594"/>
      <c r="BQ33" s="1594"/>
      <c r="BR33" s="1594"/>
      <c r="BS33" s="1594"/>
      <c r="BT33" s="1594"/>
      <c r="BU33" s="1594"/>
      <c r="BV33" s="1594"/>
      <c r="BW33" s="1594"/>
      <c r="BX33" s="1594"/>
      <c r="BY33" s="1594"/>
      <c r="BZ33" s="1594"/>
      <c r="CA33" s="1594"/>
      <c r="CB33" s="1594"/>
      <c r="CC33" s="1594"/>
      <c r="CD33" s="1594"/>
      <c r="CE33" s="1594"/>
      <c r="CF33" s="1594"/>
      <c r="CG33" s="1594"/>
      <c r="CH33" s="1594"/>
      <c r="CI33" s="1594"/>
      <c r="CJ33" s="1594"/>
      <c r="CK33" s="1594"/>
      <c r="CL33" s="1594"/>
      <c r="CM33" s="1594"/>
      <c r="CN33" s="1594"/>
      <c r="CO33" s="1594"/>
      <c r="CP33" s="1594"/>
      <c r="CQ33" s="1594"/>
      <c r="CR33" s="1594"/>
      <c r="CS33" s="1594"/>
      <c r="CT33" s="1594"/>
      <c r="CU33" s="1594"/>
      <c r="CV33" s="1594"/>
      <c r="CW33" s="1594"/>
      <c r="CX33" s="1594"/>
      <c r="CY33" s="1594"/>
      <c r="CZ33" s="1594"/>
    </row>
    <row r="34" spans="1:104">
      <c r="A34" s="1584"/>
      <c r="B34" s="1587" t="s">
        <v>136</v>
      </c>
      <c r="C34" s="1587"/>
      <c r="D34" s="632">
        <v>1420000</v>
      </c>
      <c r="E34" s="1587"/>
      <c r="F34" s="632">
        <v>1420000</v>
      </c>
      <c r="G34" s="1587"/>
      <c r="H34" s="332"/>
      <c r="I34" s="1587"/>
      <c r="J34" s="1587"/>
      <c r="K34" s="1587"/>
      <c r="L34" s="1587"/>
      <c r="M34" s="1587"/>
      <c r="N34" s="1587"/>
      <c r="O34" s="1587"/>
      <c r="P34" s="1587"/>
      <c r="Q34" s="1133">
        <v>1420000</v>
      </c>
      <c r="R34" s="317"/>
      <c r="S34" s="1594"/>
      <c r="T34" s="534"/>
      <c r="U34" s="626">
        <v>2020000</v>
      </c>
      <c r="V34" s="499"/>
      <c r="W34" s="317"/>
      <c r="X34" s="317"/>
      <c r="Y34" s="317"/>
      <c r="Z34" s="317"/>
      <c r="AA34" s="1594"/>
      <c r="AB34" s="1594"/>
      <c r="AC34" s="317"/>
      <c r="AD34" s="1594"/>
      <c r="AE34" s="1594"/>
      <c r="AF34" s="1594"/>
      <c r="AG34" s="1594"/>
      <c r="AH34" s="1594"/>
      <c r="AI34" s="1594"/>
      <c r="AJ34" s="1594"/>
      <c r="AK34" s="1594"/>
      <c r="AL34" s="1594"/>
      <c r="AM34" s="1594"/>
      <c r="AN34" s="1594"/>
      <c r="AO34" s="1594"/>
      <c r="AP34" s="1594"/>
      <c r="AQ34" s="1594"/>
      <c r="AR34" s="1594"/>
      <c r="AS34" s="1594"/>
      <c r="AT34" s="1594"/>
      <c r="AU34" s="1594"/>
      <c r="AV34" s="1594"/>
      <c r="AW34" s="1594"/>
      <c r="AX34" s="1594"/>
      <c r="AY34" s="1594"/>
      <c r="AZ34" s="1594"/>
      <c r="BA34" s="1594"/>
      <c r="BB34" s="1594"/>
      <c r="BC34" s="1594"/>
      <c r="BD34" s="1594"/>
      <c r="BE34" s="1594"/>
      <c r="BF34" s="1594"/>
      <c r="BG34" s="1594"/>
      <c r="BH34" s="1594"/>
      <c r="BI34" s="1594"/>
      <c r="BJ34" s="1594"/>
      <c r="BK34" s="1594"/>
      <c r="BL34" s="1594"/>
      <c r="BM34" s="1594"/>
      <c r="BN34" s="1594"/>
      <c r="BO34" s="1594"/>
      <c r="BP34" s="1594"/>
      <c r="BQ34" s="1594"/>
      <c r="BR34" s="1594"/>
      <c r="BS34" s="1594"/>
      <c r="BT34" s="1594"/>
      <c r="BU34" s="1594"/>
      <c r="BV34" s="1594"/>
      <c r="BW34" s="1594"/>
      <c r="BX34" s="1594"/>
      <c r="BY34" s="1594"/>
      <c r="BZ34" s="1594"/>
      <c r="CA34" s="1594"/>
      <c r="CB34" s="1594"/>
      <c r="CC34" s="1594"/>
      <c r="CD34" s="1594"/>
      <c r="CE34" s="1594"/>
      <c r="CF34" s="1594"/>
      <c r="CG34" s="1594"/>
      <c r="CH34" s="1594"/>
      <c r="CI34" s="1594"/>
      <c r="CJ34" s="1594"/>
      <c r="CK34" s="1594"/>
      <c r="CL34" s="1594"/>
      <c r="CM34" s="1594"/>
      <c r="CN34" s="1594"/>
      <c r="CO34" s="1594"/>
      <c r="CP34" s="1594"/>
      <c r="CQ34" s="1594"/>
      <c r="CR34" s="1594"/>
      <c r="CS34" s="1594"/>
      <c r="CT34" s="1594"/>
      <c r="CU34" s="1594"/>
      <c r="CV34" s="1594"/>
      <c r="CW34" s="1594"/>
      <c r="CX34" s="1594"/>
      <c r="CY34" s="1594"/>
      <c r="CZ34" s="1594"/>
    </row>
    <row r="35" spans="1:104">
      <c r="A35" s="1584"/>
      <c r="B35" s="1587" t="s">
        <v>420</v>
      </c>
      <c r="C35" s="1587"/>
      <c r="D35" s="632"/>
      <c r="E35" s="1587"/>
      <c r="F35" s="632">
        <v>30000000</v>
      </c>
      <c r="G35" s="1587"/>
      <c r="H35" s="332"/>
      <c r="I35" s="1587"/>
      <c r="J35" s="1587"/>
      <c r="K35" s="1587"/>
      <c r="L35" s="1587"/>
      <c r="M35" s="1587"/>
      <c r="N35" s="1587"/>
      <c r="O35" s="1587"/>
      <c r="P35" s="1587"/>
      <c r="Q35" s="1133">
        <v>30000000</v>
      </c>
      <c r="R35" s="317"/>
      <c r="S35" s="317"/>
      <c r="T35" s="534"/>
      <c r="U35" s="626">
        <v>30000000</v>
      </c>
      <c r="V35" s="499"/>
      <c r="W35" s="317"/>
      <c r="X35" s="317"/>
      <c r="Y35" s="317"/>
      <c r="Z35" s="317"/>
      <c r="AA35" s="1594"/>
      <c r="AB35" s="1594"/>
      <c r="AC35" s="317"/>
      <c r="AD35" s="1594"/>
      <c r="AE35" s="1594"/>
      <c r="AF35" s="1594"/>
      <c r="AG35" s="1594"/>
      <c r="AH35" s="1594"/>
      <c r="AI35" s="1594"/>
      <c r="AJ35" s="1594"/>
      <c r="AK35" s="1594"/>
      <c r="AL35" s="1594"/>
      <c r="AM35" s="1594"/>
      <c r="AN35" s="1594"/>
      <c r="AO35" s="1594"/>
      <c r="AP35" s="1594"/>
      <c r="AQ35" s="1594"/>
      <c r="AR35" s="1594"/>
      <c r="AS35" s="1594"/>
      <c r="AT35" s="1594"/>
      <c r="AU35" s="1594"/>
      <c r="AV35" s="1594"/>
      <c r="AW35" s="1594"/>
      <c r="AX35" s="1594"/>
      <c r="AY35" s="1594"/>
      <c r="AZ35" s="1594"/>
      <c r="BA35" s="1594"/>
      <c r="BB35" s="1594"/>
      <c r="BC35" s="1594"/>
      <c r="BD35" s="1594"/>
      <c r="BE35" s="1594"/>
      <c r="BF35" s="1594"/>
      <c r="BG35" s="1594"/>
      <c r="BH35" s="1594"/>
      <c r="BI35" s="1594"/>
      <c r="BJ35" s="1594"/>
      <c r="BK35" s="1594"/>
      <c r="BL35" s="1594"/>
      <c r="BM35" s="1594"/>
      <c r="BN35" s="1594"/>
      <c r="BO35" s="1594"/>
      <c r="BP35" s="1594"/>
      <c r="BQ35" s="1594"/>
      <c r="BR35" s="1594"/>
      <c r="BS35" s="1594"/>
      <c r="BT35" s="1594"/>
      <c r="BU35" s="1594"/>
      <c r="BV35" s="1594"/>
      <c r="BW35" s="1594"/>
      <c r="BX35" s="1594"/>
      <c r="BY35" s="1594"/>
      <c r="BZ35" s="1594"/>
      <c r="CA35" s="1594"/>
      <c r="CB35" s="1594"/>
      <c r="CC35" s="1594"/>
      <c r="CD35" s="1594"/>
      <c r="CE35" s="1594"/>
      <c r="CF35" s="1594"/>
      <c r="CG35" s="1594"/>
      <c r="CH35" s="1594"/>
      <c r="CI35" s="1594"/>
      <c r="CJ35" s="1594"/>
      <c r="CK35" s="1594"/>
      <c r="CL35" s="1594"/>
      <c r="CM35" s="1594"/>
      <c r="CN35" s="1594"/>
      <c r="CO35" s="1594"/>
      <c r="CP35" s="1594"/>
      <c r="CQ35" s="1594"/>
      <c r="CR35" s="1594"/>
      <c r="CS35" s="1594"/>
      <c r="CT35" s="1594"/>
      <c r="CU35" s="1594"/>
      <c r="CV35" s="1594"/>
      <c r="CW35" s="1594"/>
      <c r="CX35" s="1594"/>
      <c r="CY35" s="1594"/>
      <c r="CZ35" s="1594"/>
    </row>
    <row r="36" spans="1:104">
      <c r="A36" s="1584"/>
      <c r="B36" s="1587" t="s">
        <v>987</v>
      </c>
      <c r="C36" s="1587"/>
      <c r="D36" s="627">
        <v>1205401000</v>
      </c>
      <c r="E36" s="1587"/>
      <c r="F36" s="627">
        <v>1203621000</v>
      </c>
      <c r="G36" s="1587"/>
      <c r="H36" s="332"/>
      <c r="I36" s="1587"/>
      <c r="J36" s="1587"/>
      <c r="K36" s="1587"/>
      <c r="L36" s="1587"/>
      <c r="M36" s="1587"/>
      <c r="N36" s="1587"/>
      <c r="O36" s="1587"/>
      <c r="P36" s="1587"/>
      <c r="Q36" s="1133">
        <v>1210697044</v>
      </c>
      <c r="R36" s="317"/>
      <c r="S36" s="1594"/>
      <c r="T36" s="534"/>
      <c r="U36" s="626">
        <v>1253446000</v>
      </c>
      <c r="V36" s="499"/>
      <c r="W36" s="317"/>
      <c r="X36" s="317"/>
      <c r="Y36" s="317"/>
      <c r="Z36" s="317"/>
      <c r="AA36" s="1594"/>
      <c r="AB36" s="1594"/>
      <c r="AC36" s="317"/>
      <c r="AD36" s="1594"/>
      <c r="AE36" s="1594"/>
      <c r="AF36" s="1594"/>
      <c r="AG36" s="1594"/>
      <c r="AH36" s="1594"/>
      <c r="AI36" s="1594"/>
      <c r="AJ36" s="1594"/>
      <c r="AK36" s="1594"/>
      <c r="AL36" s="1594"/>
      <c r="AM36" s="1594"/>
      <c r="AN36" s="1594"/>
      <c r="AO36" s="1594"/>
      <c r="AP36" s="1594"/>
      <c r="AQ36" s="1594"/>
      <c r="AR36" s="1594"/>
      <c r="AS36" s="1594"/>
      <c r="AT36" s="1594"/>
      <c r="AU36" s="1594"/>
      <c r="AV36" s="1594"/>
      <c r="AW36" s="1594"/>
      <c r="AX36" s="1594"/>
      <c r="AY36" s="1594"/>
      <c r="AZ36" s="1594"/>
      <c r="BA36" s="1594"/>
      <c r="BB36" s="1594"/>
      <c r="BC36" s="1594"/>
      <c r="BD36" s="1594"/>
      <c r="BE36" s="1594"/>
      <c r="BF36" s="1594"/>
      <c r="BG36" s="1594"/>
      <c r="BH36" s="1594"/>
      <c r="BI36" s="1594"/>
      <c r="BJ36" s="1594"/>
      <c r="BK36" s="1594"/>
      <c r="BL36" s="1594"/>
      <c r="BM36" s="1594"/>
      <c r="BN36" s="1594"/>
      <c r="BO36" s="1594"/>
      <c r="BP36" s="1594"/>
      <c r="BQ36" s="1594"/>
      <c r="BR36" s="1594"/>
      <c r="BS36" s="1594"/>
      <c r="BT36" s="1594"/>
      <c r="BU36" s="1594"/>
      <c r="BV36" s="1594"/>
      <c r="BW36" s="1594"/>
      <c r="BX36" s="1594"/>
      <c r="BY36" s="1594"/>
      <c r="BZ36" s="1594"/>
      <c r="CA36" s="1594"/>
      <c r="CB36" s="1594"/>
      <c r="CC36" s="1594"/>
      <c r="CD36" s="1594"/>
      <c r="CE36" s="1594"/>
      <c r="CF36" s="1594"/>
      <c r="CG36" s="1594"/>
      <c r="CH36" s="1594"/>
      <c r="CI36" s="1594"/>
      <c r="CJ36" s="1594"/>
      <c r="CK36" s="1594"/>
      <c r="CL36" s="1594"/>
      <c r="CM36" s="1594"/>
      <c r="CN36" s="1594"/>
      <c r="CO36" s="1594"/>
      <c r="CP36" s="1594"/>
      <c r="CQ36" s="1594"/>
      <c r="CR36" s="1594"/>
      <c r="CS36" s="1594"/>
      <c r="CT36" s="1594"/>
      <c r="CU36" s="1594"/>
      <c r="CV36" s="1594"/>
      <c r="CW36" s="1594"/>
      <c r="CX36" s="1594"/>
      <c r="CY36" s="1594"/>
      <c r="CZ36" s="1594"/>
    </row>
    <row r="37" spans="1:104">
      <c r="A37" s="1584"/>
      <c r="B37" s="1587"/>
      <c r="C37" s="1587"/>
      <c r="D37" s="628"/>
      <c r="E37" s="1587"/>
      <c r="F37" s="628"/>
      <c r="G37" s="1587"/>
      <c r="H37" s="332"/>
      <c r="I37" s="1587"/>
      <c r="J37" s="1587"/>
      <c r="K37" s="1587"/>
      <c r="L37" s="1587"/>
      <c r="M37" s="1587"/>
      <c r="N37" s="1587"/>
      <c r="O37" s="1587"/>
      <c r="P37" s="1587"/>
      <c r="Q37" s="1133"/>
      <c r="R37" s="317"/>
      <c r="S37" s="1594"/>
      <c r="T37" s="534"/>
      <c r="U37" s="626"/>
      <c r="V37" s="499"/>
      <c r="W37" s="317"/>
      <c r="X37" s="317"/>
      <c r="Y37" s="317"/>
      <c r="Z37" s="317"/>
      <c r="AA37" s="1594"/>
      <c r="AB37" s="1594"/>
      <c r="AC37" s="317"/>
      <c r="AD37" s="1594"/>
      <c r="AE37" s="1594"/>
      <c r="AF37" s="1594"/>
      <c r="AG37" s="1594"/>
      <c r="AH37" s="1594"/>
      <c r="AI37" s="1594"/>
      <c r="AJ37" s="1594"/>
      <c r="AK37" s="1594"/>
      <c r="AL37" s="1594"/>
      <c r="AM37" s="1594"/>
      <c r="AN37" s="1594"/>
      <c r="AO37" s="1594"/>
      <c r="AP37" s="1594"/>
      <c r="AQ37" s="1594"/>
      <c r="AR37" s="1594"/>
      <c r="AS37" s="1594"/>
      <c r="AT37" s="1594"/>
      <c r="AU37" s="1594"/>
      <c r="AV37" s="1594"/>
      <c r="AW37" s="1594"/>
      <c r="AX37" s="1594"/>
      <c r="AY37" s="1594"/>
      <c r="AZ37" s="1594"/>
      <c r="BA37" s="1594"/>
      <c r="BB37" s="1594"/>
      <c r="BC37" s="1594"/>
      <c r="BD37" s="1594"/>
      <c r="BE37" s="1594"/>
      <c r="BF37" s="1594"/>
      <c r="BG37" s="1594"/>
      <c r="BH37" s="1594"/>
      <c r="BI37" s="1594"/>
      <c r="BJ37" s="1594"/>
      <c r="BK37" s="1594"/>
      <c r="BL37" s="1594"/>
      <c r="BM37" s="1594"/>
      <c r="BN37" s="1594"/>
      <c r="BO37" s="1594"/>
      <c r="BP37" s="1594"/>
      <c r="BQ37" s="1594"/>
      <c r="BR37" s="1594"/>
      <c r="BS37" s="1594"/>
      <c r="BT37" s="1594"/>
      <c r="BU37" s="1594"/>
      <c r="BV37" s="1594"/>
      <c r="BW37" s="1594"/>
      <c r="BX37" s="1594"/>
      <c r="BY37" s="1594"/>
      <c r="BZ37" s="1594"/>
      <c r="CA37" s="1594"/>
      <c r="CB37" s="1594"/>
      <c r="CC37" s="1594"/>
      <c r="CD37" s="1594"/>
      <c r="CE37" s="1594"/>
      <c r="CF37" s="1594"/>
      <c r="CG37" s="1594"/>
      <c r="CH37" s="1594"/>
      <c r="CI37" s="1594"/>
      <c r="CJ37" s="1594"/>
      <c r="CK37" s="1594"/>
      <c r="CL37" s="1594"/>
      <c r="CM37" s="1594"/>
      <c r="CN37" s="1594"/>
      <c r="CO37" s="1594"/>
      <c r="CP37" s="1594"/>
      <c r="CQ37" s="1594"/>
      <c r="CR37" s="1594"/>
      <c r="CS37" s="1594"/>
      <c r="CT37" s="1594"/>
      <c r="CU37" s="1594"/>
      <c r="CV37" s="1594"/>
      <c r="CW37" s="1594"/>
      <c r="CX37" s="1594"/>
      <c r="CY37" s="1594"/>
      <c r="CZ37" s="1594"/>
    </row>
    <row r="38" spans="1:104" ht="13.5" thickBot="1">
      <c r="A38" s="1584"/>
      <c r="B38" s="135" t="s">
        <v>2082</v>
      </c>
      <c r="C38" s="135"/>
      <c r="D38" s="143">
        <f>SUM(D20:D37)</f>
        <v>2458960490</v>
      </c>
      <c r="E38" s="135"/>
      <c r="F38" s="143">
        <f>SUM(F20:F36)</f>
        <v>2425757990</v>
      </c>
      <c r="G38" s="135"/>
      <c r="H38" s="185"/>
      <c r="I38" s="135"/>
      <c r="J38" s="135"/>
      <c r="K38" s="135"/>
      <c r="L38" s="135"/>
      <c r="M38" s="135"/>
      <c r="N38" s="135"/>
      <c r="O38" s="135"/>
      <c r="P38" s="135"/>
      <c r="Q38" s="275">
        <f>SUM(Q20:Q36)</f>
        <v>2379027044</v>
      </c>
      <c r="R38" s="136"/>
      <c r="S38" s="135"/>
      <c r="T38" s="138"/>
      <c r="U38" s="245">
        <f>SUM(U20:U36)</f>
        <v>2334946290</v>
      </c>
      <c r="V38" s="499"/>
      <c r="W38" s="317"/>
      <c r="X38" s="317"/>
      <c r="Y38" s="317"/>
      <c r="Z38" s="317"/>
      <c r="AA38" s="1594"/>
      <c r="AB38" s="1594"/>
      <c r="AC38" s="317"/>
      <c r="AD38" s="1594"/>
      <c r="AE38" s="1594"/>
      <c r="AF38" s="1594"/>
      <c r="AG38" s="1594"/>
      <c r="AH38" s="1594"/>
      <c r="AI38" s="1594"/>
      <c r="AJ38" s="1594"/>
      <c r="AK38" s="1594"/>
      <c r="AL38" s="1594"/>
      <c r="AM38" s="1594"/>
      <c r="AN38" s="1594"/>
      <c r="AO38" s="1594"/>
      <c r="AP38" s="1594"/>
      <c r="AQ38" s="1594"/>
      <c r="AR38" s="1594"/>
      <c r="AS38" s="1594"/>
      <c r="AT38" s="1594"/>
      <c r="AU38" s="1594"/>
      <c r="AV38" s="1594"/>
      <c r="AW38" s="1594"/>
      <c r="AX38" s="1594"/>
      <c r="AY38" s="1594"/>
      <c r="AZ38" s="1594"/>
      <c r="BA38" s="1594"/>
      <c r="BB38" s="1594"/>
      <c r="BC38" s="1594"/>
      <c r="BD38" s="1594"/>
      <c r="BE38" s="1594"/>
      <c r="BF38" s="1594"/>
      <c r="BG38" s="1594"/>
      <c r="BH38" s="1594"/>
      <c r="BI38" s="1594"/>
      <c r="BJ38" s="1594"/>
      <c r="BK38" s="1594"/>
      <c r="BL38" s="1594"/>
      <c r="BM38" s="1594"/>
      <c r="BN38" s="1594"/>
      <c r="BO38" s="1594"/>
      <c r="BP38" s="1594"/>
      <c r="BQ38" s="1594"/>
      <c r="BR38" s="1594"/>
      <c r="BS38" s="1594"/>
      <c r="BT38" s="1594"/>
      <c r="BU38" s="1594"/>
      <c r="BV38" s="1594"/>
      <c r="BW38" s="1594"/>
      <c r="BX38" s="1594"/>
      <c r="BY38" s="1594"/>
      <c r="BZ38" s="1594"/>
      <c r="CA38" s="1594"/>
      <c r="CB38" s="1594"/>
      <c r="CC38" s="1594"/>
      <c r="CD38" s="1594"/>
      <c r="CE38" s="1594"/>
      <c r="CF38" s="1594"/>
      <c r="CG38" s="1594"/>
      <c r="CH38" s="1594"/>
      <c r="CI38" s="1594"/>
      <c r="CJ38" s="1594"/>
      <c r="CK38" s="1594"/>
      <c r="CL38" s="1594"/>
      <c r="CM38" s="1594"/>
      <c r="CN38" s="1594"/>
      <c r="CO38" s="1594"/>
      <c r="CP38" s="1594"/>
      <c r="CQ38" s="1594"/>
      <c r="CR38" s="1594"/>
      <c r="CS38" s="1594"/>
      <c r="CT38" s="1594"/>
      <c r="CU38" s="1594"/>
      <c r="CV38" s="1594"/>
      <c r="CW38" s="1594"/>
      <c r="CX38" s="1594"/>
      <c r="CY38" s="1594"/>
      <c r="CZ38" s="1594"/>
    </row>
    <row r="39" spans="1:104" ht="13.5" thickTop="1">
      <c r="A39" s="1584"/>
      <c r="B39" s="135"/>
      <c r="C39" s="135"/>
      <c r="D39" s="136"/>
      <c r="E39" s="135"/>
      <c r="F39" s="136"/>
      <c r="G39" s="135"/>
      <c r="H39" s="185"/>
      <c r="I39" s="135"/>
      <c r="J39" s="135"/>
      <c r="K39" s="135"/>
      <c r="L39" s="135"/>
      <c r="M39" s="135"/>
      <c r="N39" s="135"/>
      <c r="O39" s="135"/>
      <c r="P39" s="135"/>
      <c r="Q39" s="136"/>
      <c r="R39" s="136"/>
      <c r="S39" s="135"/>
      <c r="T39" s="135"/>
      <c r="U39" s="227"/>
      <c r="V39" s="499"/>
      <c r="W39" s="317"/>
      <c r="X39" s="317"/>
      <c r="Y39" s="317"/>
      <c r="Z39" s="317"/>
      <c r="AA39" s="1594"/>
      <c r="AB39" s="1594"/>
      <c r="AC39" s="317"/>
      <c r="AD39" s="1594"/>
      <c r="AE39" s="1594"/>
      <c r="AF39" s="1594"/>
      <c r="AG39" s="1594"/>
      <c r="AH39" s="1594"/>
      <c r="AI39" s="1594"/>
      <c r="AJ39" s="1594"/>
      <c r="AK39" s="1594"/>
      <c r="AL39" s="1594"/>
      <c r="AM39" s="1594"/>
      <c r="AN39" s="1594"/>
      <c r="AO39" s="1594"/>
      <c r="AP39" s="1594"/>
      <c r="AQ39" s="1594"/>
      <c r="AR39" s="1594"/>
      <c r="AS39" s="1594"/>
      <c r="AT39" s="1594"/>
      <c r="AU39" s="1594"/>
      <c r="AV39" s="1594"/>
      <c r="AW39" s="1594"/>
      <c r="AX39" s="1594"/>
      <c r="AY39" s="1594"/>
      <c r="AZ39" s="1594"/>
      <c r="BA39" s="1594"/>
      <c r="BB39" s="1594"/>
      <c r="BC39" s="1594"/>
      <c r="BD39" s="1594"/>
      <c r="BE39" s="1594"/>
      <c r="BF39" s="1594"/>
      <c r="BG39" s="1594"/>
      <c r="BH39" s="1594"/>
      <c r="BI39" s="1594"/>
      <c r="BJ39" s="1594"/>
      <c r="BK39" s="1594"/>
      <c r="BL39" s="1594"/>
      <c r="BM39" s="1594"/>
      <c r="BN39" s="1594"/>
      <c r="BO39" s="1594"/>
      <c r="BP39" s="1594"/>
      <c r="BQ39" s="1594"/>
      <c r="BR39" s="1594"/>
      <c r="BS39" s="1594"/>
      <c r="BT39" s="1594"/>
      <c r="BU39" s="1594"/>
      <c r="BV39" s="1594"/>
      <c r="BW39" s="1594"/>
      <c r="BX39" s="1594"/>
      <c r="BY39" s="1594"/>
      <c r="BZ39" s="1594"/>
      <c r="CA39" s="1594"/>
      <c r="CB39" s="1594"/>
      <c r="CC39" s="1594"/>
      <c r="CD39" s="1594"/>
      <c r="CE39" s="1594"/>
      <c r="CF39" s="1594"/>
      <c r="CG39" s="1594"/>
      <c r="CH39" s="1594"/>
      <c r="CI39" s="1594"/>
      <c r="CJ39" s="1594"/>
      <c r="CK39" s="1594"/>
      <c r="CL39" s="1594"/>
      <c r="CM39" s="1594"/>
      <c r="CN39" s="1594"/>
      <c r="CO39" s="1594"/>
      <c r="CP39" s="1594"/>
      <c r="CQ39" s="1594"/>
      <c r="CR39" s="1594"/>
      <c r="CS39" s="1594"/>
      <c r="CT39" s="1594"/>
      <c r="CU39" s="1594"/>
      <c r="CV39" s="1594"/>
      <c r="CW39" s="1594"/>
      <c r="CX39" s="1594"/>
      <c r="CY39" s="1594"/>
      <c r="CZ39" s="1594"/>
    </row>
    <row r="40" spans="1:104" ht="76.5" customHeight="1">
      <c r="A40" s="1584"/>
      <c r="B40" s="1703" t="s">
        <v>2755</v>
      </c>
      <c r="C40" s="1703"/>
      <c r="D40" s="1703"/>
      <c r="E40" s="1703"/>
      <c r="F40" s="1703"/>
      <c r="G40" s="1595"/>
      <c r="H40" s="1595"/>
      <c r="I40" s="1595"/>
      <c r="J40" s="211"/>
      <c r="K40" s="211"/>
      <c r="L40" s="211"/>
      <c r="M40" s="211"/>
      <c r="N40" s="211"/>
      <c r="O40" s="211"/>
      <c r="P40" s="211"/>
      <c r="Q40" s="136"/>
      <c r="R40" s="136"/>
      <c r="S40" s="135"/>
      <c r="T40" s="135"/>
      <c r="U40" s="227"/>
      <c r="V40" s="499"/>
      <c r="W40" s="633"/>
      <c r="X40" s="317"/>
      <c r="Y40" s="317"/>
      <c r="Z40" s="317"/>
      <c r="AA40" s="1594"/>
      <c r="AB40" s="1594"/>
      <c r="AC40" s="317"/>
      <c r="AD40" s="1594"/>
      <c r="AE40" s="1594"/>
      <c r="AF40" s="1594"/>
      <c r="AG40" s="1594"/>
      <c r="AH40" s="1594"/>
      <c r="AI40" s="1594"/>
      <c r="AJ40" s="1594"/>
      <c r="AK40" s="1594"/>
      <c r="AL40" s="1594"/>
      <c r="AM40" s="1594"/>
      <c r="AN40" s="1594"/>
      <c r="AO40" s="1594"/>
      <c r="AP40" s="1594"/>
      <c r="AQ40" s="1594"/>
      <c r="AR40" s="1594"/>
      <c r="AS40" s="1594"/>
      <c r="AT40" s="1594"/>
      <c r="AU40" s="1594"/>
      <c r="AV40" s="1594"/>
      <c r="AW40" s="1594"/>
      <c r="AX40" s="1594"/>
      <c r="AY40" s="1594"/>
      <c r="AZ40" s="1594"/>
      <c r="BA40" s="1594"/>
      <c r="BB40" s="1594"/>
      <c r="BC40" s="1594"/>
      <c r="BD40" s="1594"/>
      <c r="BE40" s="1594"/>
      <c r="BF40" s="1594"/>
      <c r="BG40" s="1594"/>
      <c r="BH40" s="1594"/>
      <c r="BI40" s="1594"/>
      <c r="BJ40" s="1594"/>
      <c r="BK40" s="1594"/>
      <c r="BL40" s="1594"/>
      <c r="BM40" s="1594"/>
      <c r="BN40" s="1594"/>
      <c r="BO40" s="1594"/>
      <c r="BP40" s="1594"/>
      <c r="BQ40" s="1594"/>
      <c r="BR40" s="1594"/>
      <c r="BS40" s="1594"/>
      <c r="BT40" s="1594"/>
      <c r="BU40" s="1594"/>
      <c r="BV40" s="1594"/>
      <c r="BW40" s="1594"/>
      <c r="BX40" s="1594"/>
      <c r="BY40" s="1594"/>
      <c r="BZ40" s="1594"/>
      <c r="CA40" s="1594"/>
      <c r="CB40" s="1594"/>
      <c r="CC40" s="1594"/>
      <c r="CD40" s="1594"/>
      <c r="CE40" s="1594"/>
      <c r="CF40" s="1594"/>
      <c r="CG40" s="1594"/>
      <c r="CH40" s="1594"/>
      <c r="CI40" s="1594"/>
      <c r="CJ40" s="1594"/>
      <c r="CK40" s="1594"/>
      <c r="CL40" s="1594"/>
      <c r="CM40" s="1594"/>
      <c r="CN40" s="1594"/>
      <c r="CO40" s="1594"/>
      <c r="CP40" s="1594"/>
      <c r="CQ40" s="1594"/>
      <c r="CR40" s="1594"/>
      <c r="CS40" s="1594"/>
      <c r="CT40" s="1594"/>
      <c r="CU40" s="1594"/>
      <c r="CV40" s="1594"/>
      <c r="CW40" s="1594"/>
      <c r="CX40" s="1594"/>
      <c r="CY40" s="1594"/>
      <c r="CZ40" s="1594"/>
    </row>
    <row r="41" spans="1:104" ht="25.5" customHeight="1">
      <c r="A41" s="1584"/>
      <c r="B41" s="1703" t="s">
        <v>2756</v>
      </c>
      <c r="C41" s="1703"/>
      <c r="D41" s="1703"/>
      <c r="E41" s="1703"/>
      <c r="F41" s="1703"/>
      <c r="G41" s="1703"/>
      <c r="H41" s="1703"/>
      <c r="I41" s="1703"/>
      <c r="J41" s="211"/>
      <c r="K41" s="211"/>
      <c r="L41" s="211"/>
      <c r="M41" s="211"/>
      <c r="N41" s="211"/>
      <c r="O41" s="211"/>
      <c r="P41" s="211"/>
      <c r="Q41" s="136"/>
      <c r="R41" s="136"/>
      <c r="S41" s="135"/>
      <c r="T41" s="135"/>
      <c r="U41" s="227"/>
      <c r="V41" s="499"/>
      <c r="W41" s="633"/>
      <c r="X41" s="317"/>
      <c r="Y41" s="317"/>
      <c r="Z41" s="317"/>
      <c r="AA41" s="1594"/>
      <c r="AB41" s="1594"/>
      <c r="AC41" s="317"/>
      <c r="AD41" s="1594"/>
      <c r="AE41" s="1594"/>
      <c r="AF41" s="1594"/>
      <c r="AG41" s="1594"/>
      <c r="AH41" s="1594"/>
      <c r="AI41" s="1594"/>
      <c r="AJ41" s="1594"/>
      <c r="AK41" s="1594"/>
      <c r="AL41" s="1594"/>
      <c r="AM41" s="1594"/>
      <c r="AN41" s="1594"/>
      <c r="AO41" s="1594"/>
      <c r="AP41" s="1594"/>
      <c r="AQ41" s="1594"/>
      <c r="AR41" s="1594"/>
      <c r="AS41" s="1594"/>
      <c r="AT41" s="1594"/>
      <c r="AU41" s="1594"/>
      <c r="AV41" s="1594"/>
      <c r="AW41" s="1594"/>
      <c r="AX41" s="1594"/>
      <c r="AY41" s="1594"/>
      <c r="AZ41" s="1594"/>
      <c r="BA41" s="1594"/>
      <c r="BB41" s="1594"/>
      <c r="BC41" s="1594"/>
      <c r="BD41" s="1594"/>
      <c r="BE41" s="1594"/>
      <c r="BF41" s="1594"/>
      <c r="BG41" s="1594"/>
      <c r="BH41" s="1594"/>
      <c r="BI41" s="1594"/>
      <c r="BJ41" s="1594"/>
      <c r="BK41" s="1594"/>
      <c r="BL41" s="1594"/>
      <c r="BM41" s="1594"/>
      <c r="BN41" s="1594"/>
      <c r="BO41" s="1594"/>
      <c r="BP41" s="1594"/>
      <c r="BQ41" s="1594"/>
      <c r="BR41" s="1594"/>
      <c r="BS41" s="1594"/>
      <c r="BT41" s="1594"/>
      <c r="BU41" s="1594"/>
      <c r="BV41" s="1594"/>
      <c r="BW41" s="1594"/>
      <c r="BX41" s="1594"/>
      <c r="BY41" s="1594"/>
      <c r="BZ41" s="1594"/>
      <c r="CA41" s="1594"/>
      <c r="CB41" s="1594"/>
      <c r="CC41" s="1594"/>
      <c r="CD41" s="1594"/>
      <c r="CE41" s="1594"/>
      <c r="CF41" s="1594"/>
      <c r="CG41" s="1594"/>
      <c r="CH41" s="1594"/>
      <c r="CI41" s="1594"/>
      <c r="CJ41" s="1594"/>
      <c r="CK41" s="1594"/>
      <c r="CL41" s="1594"/>
      <c r="CM41" s="1594"/>
      <c r="CN41" s="1594"/>
      <c r="CO41" s="1594"/>
      <c r="CP41" s="1594"/>
      <c r="CQ41" s="1594"/>
      <c r="CR41" s="1594"/>
      <c r="CS41" s="1594"/>
      <c r="CT41" s="1594"/>
      <c r="CU41" s="1594"/>
      <c r="CV41" s="1594"/>
      <c r="CW41" s="1594"/>
      <c r="CX41" s="1594"/>
      <c r="CY41" s="1594"/>
      <c r="CZ41" s="1594"/>
    </row>
    <row r="42" spans="1:104">
      <c r="A42" s="279"/>
      <c r="B42" s="314"/>
      <c r="C42" s="314"/>
      <c r="D42" s="315"/>
      <c r="E42" s="314"/>
      <c r="F42" s="315"/>
      <c r="G42" s="314"/>
      <c r="Q42" s="315"/>
      <c r="R42" s="315"/>
      <c r="S42" s="315"/>
      <c r="T42" s="314"/>
      <c r="U42" s="634"/>
      <c r="V42" s="635"/>
      <c r="W42" s="317"/>
      <c r="X42" s="317"/>
      <c r="Y42" s="317"/>
      <c r="Z42" s="317"/>
      <c r="AA42" s="1594"/>
      <c r="AB42" s="1594"/>
      <c r="AC42" s="317"/>
      <c r="AD42" s="1594"/>
      <c r="AE42" s="1594"/>
      <c r="AF42" s="1594"/>
      <c r="AG42" s="1594"/>
      <c r="AH42" s="1594"/>
      <c r="AI42" s="1594"/>
      <c r="AJ42" s="1594"/>
      <c r="AK42" s="1594"/>
      <c r="AL42" s="1594"/>
      <c r="AM42" s="1594"/>
      <c r="AN42" s="1594"/>
      <c r="AO42" s="1594"/>
      <c r="AP42" s="1594"/>
      <c r="AQ42" s="1594"/>
      <c r="AR42" s="1594"/>
      <c r="AS42" s="1594"/>
      <c r="AT42" s="1594"/>
      <c r="AU42" s="1594"/>
      <c r="AV42" s="1594"/>
      <c r="AW42" s="1594"/>
      <c r="AX42" s="1594"/>
      <c r="AY42" s="1594"/>
      <c r="AZ42" s="1594"/>
      <c r="BA42" s="1594"/>
      <c r="BB42" s="1594"/>
      <c r="BC42" s="1594"/>
      <c r="BD42" s="1594"/>
      <c r="BE42" s="1594"/>
      <c r="BF42" s="1594"/>
      <c r="BG42" s="1594"/>
      <c r="BH42" s="1594"/>
      <c r="BI42" s="1594"/>
      <c r="BJ42" s="1594"/>
      <c r="BK42" s="1594"/>
      <c r="BL42" s="1594"/>
      <c r="BM42" s="1594"/>
      <c r="BN42" s="1594"/>
      <c r="BO42" s="1594"/>
      <c r="BP42" s="1594"/>
      <c r="BQ42" s="1594"/>
      <c r="BR42" s="1594"/>
      <c r="BS42" s="1594"/>
      <c r="BT42" s="1594"/>
      <c r="BU42" s="1594"/>
      <c r="BV42" s="1594"/>
      <c r="BW42" s="1594"/>
      <c r="BX42" s="1594"/>
      <c r="BY42" s="1594"/>
      <c r="BZ42" s="1594"/>
      <c r="CA42" s="1594"/>
      <c r="CB42" s="1594"/>
      <c r="CC42" s="1594"/>
      <c r="CD42" s="1594"/>
      <c r="CE42" s="1594"/>
      <c r="CF42" s="1594"/>
      <c r="CG42" s="1594"/>
      <c r="CH42" s="1594"/>
      <c r="CI42" s="1594"/>
      <c r="CJ42" s="1594"/>
      <c r="CK42" s="1594"/>
      <c r="CL42" s="1594"/>
      <c r="CM42" s="1594"/>
      <c r="CN42" s="1594"/>
      <c r="CO42" s="1594"/>
      <c r="CP42" s="1594"/>
      <c r="CQ42" s="1594"/>
      <c r="CR42" s="1594"/>
      <c r="CS42" s="1594"/>
      <c r="CT42" s="1594"/>
      <c r="CU42" s="1594"/>
      <c r="CV42" s="1594"/>
      <c r="CW42" s="1594"/>
      <c r="CX42" s="1594"/>
      <c r="CY42" s="1594"/>
      <c r="CZ42" s="1594"/>
    </row>
    <row r="43" spans="1:104" s="1597" customFormat="1">
      <c r="A43" s="1584"/>
      <c r="B43" s="1585"/>
      <c r="C43" s="1585"/>
      <c r="D43" s="1191"/>
      <c r="E43" s="1585"/>
      <c r="F43" s="1191"/>
      <c r="G43" s="1585"/>
      <c r="H43" s="184"/>
      <c r="I43" s="1585"/>
      <c r="J43" s="1585"/>
      <c r="K43" s="1585"/>
      <c r="L43" s="1585"/>
      <c r="M43" s="1585"/>
      <c r="N43" s="1585"/>
      <c r="O43" s="1585"/>
      <c r="P43" s="1585"/>
      <c r="Q43" s="1191" t="s">
        <v>1314</v>
      </c>
      <c r="R43" s="1585"/>
      <c r="S43" s="1585"/>
      <c r="T43" s="1585"/>
      <c r="U43" s="226" t="s">
        <v>1314</v>
      </c>
      <c r="V43" s="1586"/>
      <c r="W43" s="1191"/>
      <c r="X43" s="1191"/>
      <c r="Y43" s="1191"/>
      <c r="Z43" s="1191"/>
      <c r="AA43" s="1585"/>
      <c r="AB43" s="1585"/>
      <c r="AC43" s="1191"/>
      <c r="AD43" s="1585"/>
      <c r="AE43" s="1585"/>
      <c r="AF43" s="1585"/>
      <c r="AG43" s="1585"/>
      <c r="AH43" s="1585"/>
      <c r="AI43" s="1585"/>
      <c r="AJ43" s="1585"/>
      <c r="AK43" s="1585"/>
      <c r="AL43" s="1585"/>
      <c r="AM43" s="1585"/>
      <c r="AN43" s="1585"/>
      <c r="AO43" s="1585"/>
      <c r="AP43" s="1585"/>
      <c r="AQ43" s="1585"/>
      <c r="AR43" s="1585"/>
      <c r="AS43" s="1585"/>
      <c r="AT43" s="1585"/>
      <c r="AU43" s="1585"/>
      <c r="AV43" s="1585"/>
      <c r="AW43" s="1585"/>
      <c r="AX43" s="1585"/>
      <c r="AY43" s="1585"/>
      <c r="AZ43" s="1585"/>
      <c r="BA43" s="1585"/>
      <c r="BB43" s="1585"/>
      <c r="BC43" s="1585"/>
      <c r="BD43" s="1585"/>
      <c r="BE43" s="1585"/>
      <c r="BF43" s="1585"/>
      <c r="BG43" s="1585"/>
      <c r="BH43" s="1585"/>
      <c r="BI43" s="1585"/>
      <c r="BJ43" s="1585"/>
      <c r="BK43" s="1585"/>
      <c r="BL43" s="1585"/>
      <c r="BM43" s="1585"/>
      <c r="BN43" s="1585"/>
      <c r="BO43" s="1585"/>
      <c r="BP43" s="1585"/>
      <c r="BQ43" s="1585"/>
      <c r="BR43" s="1585"/>
      <c r="BS43" s="1585"/>
      <c r="BT43" s="1585"/>
      <c r="BU43" s="1585"/>
      <c r="BV43" s="1585"/>
      <c r="BW43" s="1585"/>
      <c r="BX43" s="1585"/>
      <c r="BY43" s="1585"/>
      <c r="BZ43" s="1585"/>
      <c r="CA43" s="1585"/>
      <c r="CB43" s="1585"/>
      <c r="CC43" s="1585"/>
      <c r="CD43" s="1585"/>
      <c r="CE43" s="1585"/>
      <c r="CF43" s="1585"/>
      <c r="CG43" s="1585"/>
      <c r="CH43" s="1585"/>
      <c r="CI43" s="1585"/>
      <c r="CJ43" s="1585"/>
      <c r="CK43" s="1585"/>
      <c r="CL43" s="1585"/>
      <c r="CM43" s="1585"/>
      <c r="CN43" s="1585"/>
      <c r="CO43" s="1585"/>
      <c r="CP43" s="1585"/>
      <c r="CQ43" s="1585"/>
      <c r="CR43" s="1585"/>
      <c r="CS43" s="1585"/>
      <c r="CT43" s="1585"/>
      <c r="CU43" s="1585"/>
      <c r="CV43" s="1585"/>
      <c r="CW43" s="1585"/>
      <c r="CX43" s="1585"/>
      <c r="CY43" s="1585"/>
      <c r="CZ43" s="1585"/>
    </row>
    <row r="44" spans="1:104" s="141" customFormat="1">
      <c r="A44" s="1589">
        <v>19</v>
      </c>
      <c r="B44" s="135" t="s">
        <v>1242</v>
      </c>
      <c r="C44" s="135"/>
      <c r="D44" s="140" t="s">
        <v>2077</v>
      </c>
      <c r="E44" s="1585"/>
      <c r="F44" s="140" t="s">
        <v>1796</v>
      </c>
      <c r="G44" s="135"/>
      <c r="H44" s="185"/>
      <c r="I44" s="135"/>
      <c r="J44" s="135"/>
      <c r="K44" s="135"/>
      <c r="L44" s="135"/>
      <c r="M44" s="135"/>
      <c r="N44" s="135"/>
      <c r="O44" s="135"/>
      <c r="P44" s="135"/>
      <c r="Q44" s="136"/>
      <c r="R44" s="135"/>
      <c r="S44" s="135"/>
      <c r="T44" s="135"/>
      <c r="U44" s="227"/>
      <c r="V44" s="223"/>
      <c r="W44" s="136"/>
      <c r="X44" s="136"/>
      <c r="Y44" s="136"/>
      <c r="Z44" s="136"/>
      <c r="AA44" s="135"/>
      <c r="AB44" s="135"/>
      <c r="AC44" s="136"/>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row>
    <row r="45" spans="1:104" s="141" customFormat="1">
      <c r="A45" s="1589"/>
      <c r="B45" s="135"/>
      <c r="C45" s="135"/>
      <c r="D45" s="136"/>
      <c r="E45" s="135"/>
      <c r="F45" s="136"/>
      <c r="G45" s="135"/>
      <c r="H45" s="185"/>
      <c r="I45" s="135"/>
      <c r="J45" s="135"/>
      <c r="K45" s="135"/>
      <c r="L45" s="135"/>
      <c r="M45" s="135"/>
      <c r="N45" s="135"/>
      <c r="O45" s="135"/>
      <c r="P45" s="135"/>
      <c r="Q45" s="136"/>
      <c r="R45" s="135"/>
      <c r="S45" s="135"/>
      <c r="T45" s="135"/>
      <c r="U45" s="227"/>
      <c r="V45" s="223"/>
      <c r="W45" s="136"/>
      <c r="X45" s="136"/>
      <c r="Y45" s="136"/>
      <c r="Z45" s="136"/>
      <c r="AA45" s="135"/>
      <c r="AB45" s="135"/>
      <c r="AC45" s="136"/>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row>
    <row r="46" spans="1:104">
      <c r="A46" s="1584"/>
      <c r="B46" s="1595" t="s">
        <v>1243</v>
      </c>
      <c r="C46" s="1595"/>
      <c r="D46" s="319">
        <f>-'TRAIL BALANCE'!F429-'TRAIL BALANCE'!F430-'TRAIL BALANCE'!F431-'TRAIL BALANCE'!F432-'TRAIL BALANCE'!F433-'TRAIL BALANCE'!F434</f>
        <v>53696905.700000003</v>
      </c>
      <c r="E46" s="1595"/>
      <c r="F46" s="319">
        <f>-'TRAIL BALANCE'!E429-'TRAIL BALANCE'!E430-'TRAIL BALANCE'!E431-'TRAIL BALANCE'!E432-'TRAIL BALANCE'!E433-'TRAIL BALANCE'!E434-'TRAIL BALANCE'!E435</f>
        <v>40994741.689999998</v>
      </c>
      <c r="G46" s="1594"/>
      <c r="Q46" s="317" t="e">
        <f>-'TRAIL BALANCE'!#REF!-'TRAIL BALANCE'!#REF!-'TRAIL BALANCE'!#REF!-'TRAIL BALANCE'!#REF!-'TRAIL BALANCE'!#REF!-'TRAIL BALANCE'!#REF!</f>
        <v>#REF!</v>
      </c>
      <c r="R46" s="1594"/>
      <c r="S46" s="1594"/>
      <c r="T46" s="1594"/>
      <c r="U46" s="621" t="e">
        <f>-'TRAIL BALANCE'!#REF!</f>
        <v>#REF!</v>
      </c>
      <c r="V46" s="499"/>
      <c r="W46" s="317"/>
      <c r="X46" s="136" t="s">
        <v>36</v>
      </c>
      <c r="Y46" s="317"/>
      <c r="Z46" s="317"/>
      <c r="AA46" s="1594"/>
      <c r="AB46" s="1594"/>
      <c r="AC46" s="317"/>
      <c r="AD46" s="1594"/>
      <c r="AE46" s="1594"/>
      <c r="AF46" s="1594"/>
      <c r="AG46" s="1594"/>
      <c r="AH46" s="1594"/>
      <c r="AI46" s="1594"/>
      <c r="AJ46" s="1594"/>
      <c r="AK46" s="1594"/>
      <c r="AL46" s="1594"/>
      <c r="AM46" s="1594"/>
      <c r="AN46" s="1594"/>
      <c r="AO46" s="1594"/>
      <c r="AP46" s="1594"/>
      <c r="AQ46" s="1594"/>
      <c r="AR46" s="1594"/>
      <c r="AS46" s="1594"/>
      <c r="AT46" s="1594"/>
      <c r="AU46" s="1594"/>
      <c r="AV46" s="1594"/>
      <c r="AW46" s="1594"/>
      <c r="AX46" s="1594"/>
      <c r="AY46" s="1594"/>
      <c r="AZ46" s="1594"/>
      <c r="BA46" s="1594"/>
      <c r="BB46" s="1594"/>
      <c r="BC46" s="1594"/>
      <c r="BD46" s="1594"/>
      <c r="BE46" s="1594"/>
      <c r="BF46" s="1594"/>
      <c r="BG46" s="1594"/>
      <c r="BH46" s="1594"/>
      <c r="BI46" s="1594"/>
      <c r="BJ46" s="1594"/>
      <c r="BK46" s="1594"/>
      <c r="BL46" s="1594"/>
      <c r="BM46" s="1594"/>
      <c r="BN46" s="1594"/>
      <c r="BO46" s="1594"/>
      <c r="BP46" s="1594"/>
      <c r="BQ46" s="1594"/>
      <c r="BR46" s="1594"/>
      <c r="BS46" s="1594"/>
      <c r="BT46" s="1594"/>
      <c r="BU46" s="1594"/>
      <c r="BV46" s="1594"/>
      <c r="BW46" s="1594"/>
      <c r="BX46" s="1594"/>
      <c r="BY46" s="1594"/>
      <c r="BZ46" s="1594"/>
      <c r="CA46" s="1594"/>
      <c r="CB46" s="1594"/>
      <c r="CC46" s="1594"/>
      <c r="CD46" s="1594"/>
      <c r="CE46" s="1594"/>
      <c r="CF46" s="1594"/>
      <c r="CG46" s="1594"/>
      <c r="CH46" s="1594"/>
      <c r="CI46" s="1594"/>
      <c r="CJ46" s="1594"/>
      <c r="CK46" s="1594"/>
      <c r="CL46" s="1594"/>
      <c r="CM46" s="1594"/>
      <c r="CN46" s="1594"/>
      <c r="CO46" s="1594"/>
      <c r="CP46" s="1594"/>
      <c r="CQ46" s="1594"/>
      <c r="CR46" s="1594"/>
      <c r="CS46" s="1594"/>
      <c r="CT46" s="1594"/>
      <c r="CU46" s="1594"/>
      <c r="CV46" s="1594"/>
      <c r="CW46" s="1594"/>
      <c r="CX46" s="1594"/>
      <c r="CY46" s="1594"/>
      <c r="CZ46" s="1594"/>
    </row>
    <row r="47" spans="1:104">
      <c r="A47" s="1584"/>
      <c r="B47" s="1595" t="s">
        <v>1723</v>
      </c>
      <c r="C47" s="1595"/>
      <c r="D47" s="213">
        <f>-'TRAIL BALANCE'!F436</f>
        <v>943941.6399999999</v>
      </c>
      <c r="E47" s="1595"/>
      <c r="F47" s="213">
        <f>-'TRAIL BALANCE'!E436</f>
        <v>754842.32000000007</v>
      </c>
      <c r="G47" s="1594"/>
      <c r="Q47" s="317">
        <v>231262.92</v>
      </c>
      <c r="R47" s="1594"/>
      <c r="S47" s="1594"/>
      <c r="T47" s="1594"/>
      <c r="U47" s="621">
        <v>0</v>
      </c>
      <c r="V47" s="499"/>
      <c r="W47" s="316" t="s">
        <v>36</v>
      </c>
      <c r="X47" s="136" t="s">
        <v>36</v>
      </c>
      <c r="Y47" s="317"/>
      <c r="Z47" s="317"/>
      <c r="AA47" s="1594"/>
      <c r="AB47" s="1594"/>
      <c r="AC47" s="317"/>
      <c r="AD47" s="1594"/>
      <c r="AE47" s="1594"/>
      <c r="AF47" s="1594"/>
      <c r="AG47" s="1594"/>
      <c r="AH47" s="1594"/>
      <c r="AI47" s="1594"/>
      <c r="AJ47" s="1594"/>
      <c r="AK47" s="1594"/>
      <c r="AL47" s="1594"/>
      <c r="AM47" s="1594"/>
      <c r="AN47" s="1594"/>
      <c r="AO47" s="1594"/>
      <c r="AP47" s="1594"/>
      <c r="AQ47" s="1594"/>
      <c r="AR47" s="1594"/>
      <c r="AS47" s="1594"/>
      <c r="AT47" s="1594"/>
      <c r="AU47" s="1594"/>
      <c r="AV47" s="1594"/>
      <c r="AW47" s="1594"/>
      <c r="AX47" s="1594"/>
      <c r="AY47" s="1594"/>
      <c r="AZ47" s="1594"/>
      <c r="BA47" s="1594"/>
      <c r="BB47" s="1594"/>
      <c r="BC47" s="1594"/>
      <c r="BD47" s="1594"/>
      <c r="BE47" s="1594"/>
      <c r="BF47" s="1594"/>
      <c r="BG47" s="1594"/>
      <c r="BH47" s="1594"/>
      <c r="BI47" s="1594"/>
      <c r="BJ47" s="1594"/>
      <c r="BK47" s="1594"/>
      <c r="BL47" s="1594"/>
      <c r="BM47" s="1594"/>
      <c r="BN47" s="1594"/>
      <c r="BO47" s="1594"/>
      <c r="BP47" s="1594"/>
      <c r="BQ47" s="1594"/>
      <c r="BR47" s="1594"/>
      <c r="BS47" s="1594"/>
      <c r="BT47" s="1594"/>
      <c r="BU47" s="1594"/>
      <c r="BV47" s="1594"/>
      <c r="BW47" s="1594"/>
      <c r="BX47" s="1594"/>
      <c r="BY47" s="1594"/>
      <c r="BZ47" s="1594"/>
      <c r="CA47" s="1594"/>
      <c r="CB47" s="1594"/>
      <c r="CC47" s="1594"/>
      <c r="CD47" s="1594"/>
      <c r="CE47" s="1594"/>
      <c r="CF47" s="1594"/>
      <c r="CG47" s="1594"/>
      <c r="CH47" s="1594"/>
      <c r="CI47" s="1594"/>
      <c r="CJ47" s="1594"/>
      <c r="CK47" s="1594"/>
      <c r="CL47" s="1594"/>
      <c r="CM47" s="1594"/>
      <c r="CN47" s="1594"/>
      <c r="CO47" s="1594"/>
      <c r="CP47" s="1594"/>
      <c r="CQ47" s="1594"/>
      <c r="CR47" s="1594"/>
      <c r="CS47" s="1594"/>
      <c r="CT47" s="1594"/>
      <c r="CU47" s="1594"/>
      <c r="CV47" s="1594"/>
      <c r="CW47" s="1594"/>
      <c r="CX47" s="1594"/>
      <c r="CY47" s="1594"/>
      <c r="CZ47" s="1594"/>
    </row>
    <row r="48" spans="1:104">
      <c r="A48" s="1584"/>
      <c r="B48" s="1595" t="s">
        <v>1244</v>
      </c>
      <c r="C48" s="1595"/>
      <c r="D48" s="338">
        <f>-'TRAIL BALANCE'!F315</f>
        <v>6029938.0300000003</v>
      </c>
      <c r="E48" s="1595"/>
      <c r="F48" s="338">
        <f>-'TRAIL BALANCE'!E315</f>
        <v>5016917.6399999997</v>
      </c>
      <c r="G48" s="1594"/>
      <c r="Q48" s="317" t="e">
        <f>-'TRAIL BALANCE'!#REF!</f>
        <v>#REF!</v>
      </c>
      <c r="R48" s="1594"/>
      <c r="S48" s="1594"/>
      <c r="T48" s="1594"/>
      <c r="U48" s="621" t="e">
        <f>-'TRAIL BALANCE'!#REF!</f>
        <v>#REF!</v>
      </c>
      <c r="V48" s="499"/>
      <c r="W48" s="316" t="s">
        <v>36</v>
      </c>
      <c r="X48" s="317"/>
      <c r="Y48" s="317"/>
      <c r="Z48" s="317"/>
      <c r="AA48" s="1594"/>
      <c r="AB48" s="1594"/>
      <c r="AC48" s="317"/>
      <c r="AD48" s="1594"/>
      <c r="AE48" s="1594"/>
      <c r="AF48" s="1594"/>
      <c r="AG48" s="1594"/>
      <c r="AH48" s="1594"/>
      <c r="AI48" s="1594"/>
      <c r="AJ48" s="1594"/>
      <c r="AK48" s="1594"/>
      <c r="AL48" s="1594"/>
      <c r="AM48" s="1594"/>
      <c r="AN48" s="1594"/>
      <c r="AO48" s="1594"/>
      <c r="AP48" s="1594"/>
      <c r="AQ48" s="1594"/>
      <c r="AR48" s="1594"/>
      <c r="AS48" s="1594"/>
      <c r="AT48" s="1594"/>
      <c r="AU48" s="1594"/>
      <c r="AV48" s="1594"/>
      <c r="AW48" s="1594"/>
      <c r="AX48" s="1594"/>
      <c r="AY48" s="1594"/>
      <c r="AZ48" s="1594"/>
      <c r="BA48" s="1594"/>
      <c r="BB48" s="1594"/>
      <c r="BC48" s="1594"/>
      <c r="BD48" s="1594"/>
      <c r="BE48" s="1594"/>
      <c r="BF48" s="1594"/>
      <c r="BG48" s="1594"/>
      <c r="BH48" s="1594"/>
      <c r="BI48" s="1594"/>
      <c r="BJ48" s="1594"/>
      <c r="BK48" s="1594"/>
      <c r="BL48" s="1594"/>
      <c r="BM48" s="1594"/>
      <c r="BN48" s="1594"/>
      <c r="BO48" s="1594"/>
      <c r="BP48" s="1594"/>
      <c r="BQ48" s="1594"/>
      <c r="BR48" s="1594"/>
      <c r="BS48" s="1594"/>
      <c r="BT48" s="1594"/>
      <c r="BU48" s="1594"/>
      <c r="BV48" s="1594"/>
      <c r="BW48" s="1594"/>
      <c r="BX48" s="1594"/>
      <c r="BY48" s="1594"/>
      <c r="BZ48" s="1594"/>
      <c r="CA48" s="1594"/>
      <c r="CB48" s="1594"/>
      <c r="CC48" s="1594"/>
      <c r="CD48" s="1594"/>
      <c r="CE48" s="1594"/>
      <c r="CF48" s="1594"/>
      <c r="CG48" s="1594"/>
      <c r="CH48" s="1594"/>
      <c r="CI48" s="1594"/>
      <c r="CJ48" s="1594"/>
      <c r="CK48" s="1594"/>
      <c r="CL48" s="1594"/>
      <c r="CM48" s="1594"/>
      <c r="CN48" s="1594"/>
      <c r="CO48" s="1594"/>
      <c r="CP48" s="1594"/>
      <c r="CQ48" s="1594"/>
      <c r="CR48" s="1594"/>
      <c r="CS48" s="1594"/>
      <c r="CT48" s="1594"/>
      <c r="CU48" s="1594"/>
      <c r="CV48" s="1594"/>
      <c r="CW48" s="1594"/>
      <c r="CX48" s="1594"/>
      <c r="CY48" s="1594"/>
      <c r="CZ48" s="1594"/>
    </row>
    <row r="49" spans="1:104">
      <c r="A49" s="1584"/>
      <c r="B49" s="1595"/>
      <c r="C49" s="1595"/>
      <c r="D49" s="325"/>
      <c r="E49" s="1595"/>
      <c r="F49" s="317"/>
      <c r="G49" s="1594"/>
      <c r="Q49" s="317"/>
      <c r="R49" s="1594"/>
      <c r="S49" s="1594"/>
      <c r="T49" s="1594"/>
      <c r="U49" s="621"/>
      <c r="V49" s="499"/>
      <c r="W49" s="316"/>
      <c r="X49" s="317"/>
      <c r="Y49" s="317"/>
      <c r="Z49" s="317"/>
      <c r="AA49" s="1594"/>
      <c r="AB49" s="1594"/>
      <c r="AC49" s="317"/>
      <c r="AD49" s="1594"/>
      <c r="AE49" s="1594"/>
      <c r="AF49" s="1594"/>
      <c r="AG49" s="1594"/>
      <c r="AH49" s="1594"/>
      <c r="AI49" s="1594"/>
      <c r="AJ49" s="1594"/>
      <c r="AK49" s="1594"/>
      <c r="AL49" s="1594"/>
      <c r="AM49" s="1594"/>
      <c r="AN49" s="1594"/>
      <c r="AO49" s="1594"/>
      <c r="AP49" s="1594"/>
      <c r="AQ49" s="1594"/>
      <c r="AR49" s="1594"/>
      <c r="AS49" s="1594"/>
      <c r="AT49" s="1594"/>
      <c r="AU49" s="1594"/>
      <c r="AV49" s="1594"/>
      <c r="AW49" s="1594"/>
      <c r="AX49" s="1594"/>
      <c r="AY49" s="1594"/>
      <c r="AZ49" s="1594"/>
      <c r="BA49" s="1594"/>
      <c r="BB49" s="1594"/>
      <c r="BC49" s="1594"/>
      <c r="BD49" s="1594"/>
      <c r="BE49" s="1594"/>
      <c r="BF49" s="1594"/>
      <c r="BG49" s="1594"/>
      <c r="BH49" s="1594"/>
      <c r="BI49" s="1594"/>
      <c r="BJ49" s="1594"/>
      <c r="BK49" s="1594"/>
      <c r="BL49" s="1594"/>
      <c r="BM49" s="1594"/>
      <c r="BN49" s="1594"/>
      <c r="BO49" s="1594"/>
      <c r="BP49" s="1594"/>
      <c r="BQ49" s="1594"/>
      <c r="BR49" s="1594"/>
      <c r="BS49" s="1594"/>
      <c r="BT49" s="1594"/>
      <c r="BU49" s="1594"/>
      <c r="BV49" s="1594"/>
      <c r="BW49" s="1594"/>
      <c r="BX49" s="1594"/>
      <c r="BY49" s="1594"/>
      <c r="BZ49" s="1594"/>
      <c r="CA49" s="1594"/>
      <c r="CB49" s="1594"/>
      <c r="CC49" s="1594"/>
      <c r="CD49" s="1594"/>
      <c r="CE49" s="1594"/>
      <c r="CF49" s="1594"/>
      <c r="CG49" s="1594"/>
      <c r="CH49" s="1594"/>
      <c r="CI49" s="1594"/>
      <c r="CJ49" s="1594"/>
      <c r="CK49" s="1594"/>
      <c r="CL49" s="1594"/>
      <c r="CM49" s="1594"/>
      <c r="CN49" s="1594"/>
      <c r="CO49" s="1594"/>
      <c r="CP49" s="1594"/>
      <c r="CQ49" s="1594"/>
      <c r="CR49" s="1594"/>
      <c r="CS49" s="1594"/>
      <c r="CT49" s="1594"/>
      <c r="CU49" s="1594"/>
      <c r="CV49" s="1594"/>
      <c r="CW49" s="1594"/>
      <c r="CX49" s="1594"/>
      <c r="CY49" s="1594"/>
      <c r="CZ49" s="1594"/>
    </row>
    <row r="50" spans="1:104" ht="13.5" thickBot="1">
      <c r="A50" s="1584"/>
      <c r="B50" s="142" t="s">
        <v>1245</v>
      </c>
      <c r="C50" s="142"/>
      <c r="D50" s="143">
        <f>SUM(D46:D48)</f>
        <v>60670785.370000005</v>
      </c>
      <c r="E50" s="142"/>
      <c r="F50" s="143">
        <f>SUM(F46:F48)</f>
        <v>46766501.649999999</v>
      </c>
      <c r="G50" s="1594"/>
      <c r="Q50" s="143" t="e">
        <f>SUM(Q46:Q48)</f>
        <v>#REF!</v>
      </c>
      <c r="R50" s="1594"/>
      <c r="S50" s="1594"/>
      <c r="T50" s="1594"/>
      <c r="U50" s="246" t="e">
        <f>SUM(U46:U48)</f>
        <v>#REF!</v>
      </c>
      <c r="V50" s="499"/>
      <c r="W50" s="317" t="s">
        <v>36</v>
      </c>
      <c r="X50" s="317"/>
      <c r="Y50" s="317"/>
      <c r="Z50" s="317"/>
      <c r="AA50" s="1594"/>
      <c r="AB50" s="1594"/>
      <c r="AC50" s="317"/>
      <c r="AD50" s="1594"/>
      <c r="AE50" s="1594"/>
      <c r="AF50" s="1594"/>
      <c r="AG50" s="1594"/>
      <c r="AH50" s="1594"/>
      <c r="AI50" s="1594"/>
      <c r="AJ50" s="1594"/>
      <c r="AK50" s="1594"/>
      <c r="AL50" s="1594"/>
      <c r="AM50" s="1594"/>
      <c r="AN50" s="1594"/>
      <c r="AO50" s="1594"/>
      <c r="AP50" s="1594"/>
      <c r="AQ50" s="1594"/>
      <c r="AR50" s="1594"/>
      <c r="AS50" s="1594"/>
      <c r="AT50" s="1594"/>
      <c r="AU50" s="1594"/>
      <c r="AV50" s="1594"/>
      <c r="AW50" s="1594"/>
      <c r="AX50" s="1594"/>
      <c r="AY50" s="1594"/>
      <c r="AZ50" s="1594"/>
      <c r="BA50" s="1594"/>
      <c r="BB50" s="1594"/>
      <c r="BC50" s="1594"/>
      <c r="BD50" s="1594"/>
      <c r="BE50" s="1594"/>
      <c r="BF50" s="1594"/>
      <c r="BG50" s="1594"/>
      <c r="BH50" s="1594"/>
      <c r="BI50" s="1594"/>
      <c r="BJ50" s="1594"/>
      <c r="BK50" s="1594"/>
      <c r="BL50" s="1594"/>
      <c r="BM50" s="1594"/>
      <c r="BN50" s="1594"/>
      <c r="BO50" s="1594"/>
      <c r="BP50" s="1594"/>
      <c r="BQ50" s="1594"/>
      <c r="BR50" s="1594"/>
      <c r="BS50" s="1594"/>
      <c r="BT50" s="1594"/>
      <c r="BU50" s="1594"/>
      <c r="BV50" s="1594"/>
      <c r="BW50" s="1594"/>
      <c r="BX50" s="1594"/>
      <c r="BY50" s="1594"/>
      <c r="BZ50" s="1594"/>
      <c r="CA50" s="1594"/>
      <c r="CB50" s="1594"/>
      <c r="CC50" s="1594"/>
      <c r="CD50" s="1594"/>
      <c r="CE50" s="1594"/>
      <c r="CF50" s="1594"/>
      <c r="CG50" s="1594"/>
      <c r="CH50" s="1594"/>
      <c r="CI50" s="1594"/>
      <c r="CJ50" s="1594"/>
      <c r="CK50" s="1594"/>
      <c r="CL50" s="1594"/>
      <c r="CM50" s="1594"/>
      <c r="CN50" s="1594"/>
      <c r="CO50" s="1594"/>
      <c r="CP50" s="1594"/>
      <c r="CQ50" s="1594"/>
      <c r="CR50" s="1594"/>
      <c r="CS50" s="1594"/>
      <c r="CT50" s="1594"/>
      <c r="CU50" s="1594"/>
      <c r="CV50" s="1594"/>
      <c r="CW50" s="1594"/>
      <c r="CX50" s="1594"/>
      <c r="CY50" s="1594"/>
      <c r="CZ50" s="1594"/>
    </row>
    <row r="51" spans="1:104" ht="13.5" thickTop="1">
      <c r="A51" s="279"/>
      <c r="B51" s="314"/>
      <c r="C51" s="314"/>
      <c r="D51" s="315"/>
      <c r="E51" s="314"/>
      <c r="F51" s="315"/>
      <c r="G51" s="314"/>
      <c r="Q51" s="315"/>
      <c r="R51" s="314"/>
      <c r="S51" s="314"/>
      <c r="T51" s="314"/>
      <c r="U51" s="634"/>
      <c r="V51" s="635"/>
      <c r="W51" s="317" t="s">
        <v>36</v>
      </c>
      <c r="X51" s="317" t="s">
        <v>36</v>
      </c>
      <c r="Y51" s="317" t="s">
        <v>36</v>
      </c>
      <c r="Z51" s="317" t="s">
        <v>36</v>
      </c>
      <c r="AA51" s="1594" t="s">
        <v>36</v>
      </c>
      <c r="AB51" s="1594"/>
      <c r="AC51" s="317">
        <v>20974110</v>
      </c>
      <c r="AD51" s="1594"/>
      <c r="AE51" s="1594"/>
      <c r="AF51" s="1594"/>
      <c r="AG51" s="1594"/>
      <c r="AH51" s="1594"/>
      <c r="AI51" s="1594"/>
      <c r="AJ51" s="1594"/>
      <c r="AK51" s="1594"/>
      <c r="AL51" s="1594"/>
      <c r="AM51" s="1594"/>
      <c r="AN51" s="1594"/>
      <c r="AO51" s="1594"/>
      <c r="AP51" s="1594"/>
      <c r="AQ51" s="1594"/>
      <c r="AR51" s="1594"/>
      <c r="AS51" s="1594"/>
      <c r="AT51" s="1594"/>
      <c r="AU51" s="1594"/>
      <c r="AV51" s="1594"/>
      <c r="AW51" s="1594"/>
      <c r="AX51" s="1594"/>
      <c r="AY51" s="1594"/>
      <c r="AZ51" s="1594"/>
      <c r="BA51" s="1594"/>
      <c r="BB51" s="1594"/>
      <c r="BC51" s="1594"/>
      <c r="BD51" s="1594"/>
      <c r="BE51" s="1594"/>
      <c r="BF51" s="1594"/>
      <c r="BG51" s="1594"/>
      <c r="BH51" s="1594"/>
      <c r="BI51" s="1594"/>
      <c r="BJ51" s="1594"/>
      <c r="BK51" s="1594"/>
      <c r="BL51" s="1594"/>
      <c r="BM51" s="1594"/>
      <c r="BN51" s="1594"/>
      <c r="BO51" s="1594"/>
      <c r="BP51" s="1594"/>
      <c r="BQ51" s="1594"/>
      <c r="BR51" s="1594"/>
      <c r="BS51" s="1594"/>
      <c r="BT51" s="1594"/>
      <c r="BU51" s="1594"/>
      <c r="BV51" s="1594"/>
      <c r="BW51" s="1594"/>
      <c r="BX51" s="1594"/>
      <c r="BY51" s="1594"/>
      <c r="BZ51" s="1594"/>
      <c r="CA51" s="1594"/>
      <c r="CB51" s="1594"/>
      <c r="CC51" s="1594"/>
      <c r="CD51" s="1594"/>
      <c r="CE51" s="1594"/>
      <c r="CF51" s="1594"/>
      <c r="CG51" s="1594"/>
      <c r="CH51" s="1594"/>
      <c r="CI51" s="1594"/>
      <c r="CJ51" s="1594"/>
      <c r="CK51" s="1594"/>
      <c r="CL51" s="1594"/>
      <c r="CM51" s="1594"/>
      <c r="CN51" s="1594"/>
      <c r="CO51" s="1594"/>
      <c r="CP51" s="1594"/>
      <c r="CQ51" s="1594"/>
      <c r="CR51" s="1594"/>
      <c r="CS51" s="1594"/>
      <c r="CT51" s="1594"/>
      <c r="CU51" s="1594"/>
      <c r="CV51" s="1594"/>
      <c r="CW51" s="1594"/>
      <c r="CX51" s="1594"/>
      <c r="CY51" s="1594"/>
      <c r="CZ51" s="1594"/>
    </row>
    <row r="52" spans="1:104">
      <c r="A52" s="280"/>
      <c r="B52" s="321"/>
      <c r="C52" s="321"/>
      <c r="D52" s="322"/>
      <c r="E52" s="321"/>
      <c r="F52" s="322"/>
      <c r="G52" s="321"/>
      <c r="Q52" s="322"/>
      <c r="R52" s="321"/>
      <c r="S52" s="321"/>
      <c r="T52" s="321"/>
      <c r="U52" s="622"/>
      <c r="V52" s="623"/>
      <c r="W52" s="317" t="s">
        <v>36</v>
      </c>
      <c r="X52" s="317" t="s">
        <v>36</v>
      </c>
      <c r="Y52" s="317" t="s">
        <v>36</v>
      </c>
      <c r="Z52" s="317" t="s">
        <v>36</v>
      </c>
      <c r="AA52" s="1594" t="s">
        <v>36</v>
      </c>
      <c r="AB52" s="1594"/>
      <c r="AC52" s="317">
        <v>3922308</v>
      </c>
      <c r="AD52" s="1594"/>
      <c r="AE52" s="1594"/>
      <c r="AF52" s="1594"/>
      <c r="AG52" s="1594"/>
      <c r="AH52" s="1594"/>
      <c r="AI52" s="1594"/>
      <c r="AJ52" s="1594"/>
      <c r="AK52" s="1594"/>
      <c r="AL52" s="1594"/>
      <c r="AM52" s="1594"/>
      <c r="AN52" s="1594"/>
      <c r="AO52" s="1594"/>
      <c r="AP52" s="1594"/>
      <c r="AQ52" s="1594"/>
      <c r="AR52" s="1594"/>
      <c r="AS52" s="1594"/>
      <c r="AT52" s="1594"/>
      <c r="AU52" s="1594"/>
      <c r="AV52" s="1594"/>
      <c r="AW52" s="1594"/>
      <c r="AX52" s="1594"/>
      <c r="AY52" s="1594"/>
      <c r="AZ52" s="1594"/>
      <c r="BA52" s="1594"/>
      <c r="BB52" s="1594"/>
      <c r="BC52" s="1594"/>
      <c r="BD52" s="1594"/>
      <c r="BE52" s="1594"/>
      <c r="BF52" s="1594"/>
      <c r="BG52" s="1594"/>
      <c r="BH52" s="1594"/>
      <c r="BI52" s="1594"/>
      <c r="BJ52" s="1594"/>
      <c r="BK52" s="1594"/>
      <c r="BL52" s="1594"/>
      <c r="BM52" s="1594"/>
      <c r="BN52" s="1594"/>
      <c r="BO52" s="1594"/>
      <c r="BP52" s="1594"/>
      <c r="BQ52" s="1594"/>
      <c r="BR52" s="1594"/>
      <c r="BS52" s="1594"/>
      <c r="BT52" s="1594"/>
      <c r="BU52" s="1594"/>
      <c r="BV52" s="1594"/>
      <c r="BW52" s="1594"/>
      <c r="BX52" s="1594"/>
      <c r="BY52" s="1594"/>
      <c r="BZ52" s="1594"/>
      <c r="CA52" s="1594"/>
      <c r="CB52" s="1594"/>
      <c r="CC52" s="1594"/>
      <c r="CD52" s="1594"/>
      <c r="CE52" s="1594"/>
      <c r="CF52" s="1594"/>
      <c r="CG52" s="1594"/>
      <c r="CH52" s="1594"/>
      <c r="CI52" s="1594"/>
      <c r="CJ52" s="1594"/>
      <c r="CK52" s="1594"/>
      <c r="CL52" s="1594"/>
      <c r="CM52" s="1594"/>
      <c r="CN52" s="1594"/>
      <c r="CO52" s="1594"/>
      <c r="CP52" s="1594"/>
      <c r="CQ52" s="1594"/>
      <c r="CR52" s="1594"/>
      <c r="CS52" s="1594"/>
      <c r="CT52" s="1594"/>
      <c r="CU52" s="1594"/>
      <c r="CV52" s="1594"/>
      <c r="CW52" s="1594"/>
      <c r="CX52" s="1594"/>
      <c r="CY52" s="1594"/>
      <c r="CZ52" s="1594"/>
    </row>
    <row r="53" spans="1:104">
      <c r="A53" s="1584">
        <v>20</v>
      </c>
      <c r="B53" s="141" t="s">
        <v>2116</v>
      </c>
      <c r="C53" s="1594"/>
      <c r="D53" s="140" t="s">
        <v>2077</v>
      </c>
      <c r="E53" s="1585"/>
      <c r="F53" s="140" t="s">
        <v>1796</v>
      </c>
      <c r="G53" s="1594"/>
      <c r="Q53" s="322"/>
      <c r="R53" s="1594"/>
      <c r="S53" s="1594"/>
      <c r="T53" s="1594"/>
      <c r="U53" s="622"/>
      <c r="V53" s="499"/>
      <c r="W53" s="317"/>
      <c r="X53" s="317"/>
      <c r="Y53" s="317"/>
      <c r="Z53" s="317"/>
      <c r="AA53" s="1594"/>
      <c r="AB53" s="1594"/>
      <c r="AC53" s="317"/>
      <c r="AD53" s="1594"/>
      <c r="AE53" s="1594"/>
      <c r="AF53" s="1594"/>
      <c r="AG53" s="1594"/>
      <c r="AH53" s="1594"/>
      <c r="AI53" s="1594"/>
      <c r="AJ53" s="1594"/>
      <c r="AK53" s="1594"/>
      <c r="AL53" s="1594"/>
      <c r="AM53" s="1594"/>
      <c r="AN53" s="1594"/>
      <c r="AO53" s="1594"/>
      <c r="AP53" s="1594"/>
      <c r="AQ53" s="1594"/>
      <c r="AR53" s="1594"/>
      <c r="AS53" s="1594"/>
      <c r="AT53" s="1594"/>
      <c r="AU53" s="1594"/>
      <c r="AV53" s="1594"/>
      <c r="AW53" s="1594"/>
      <c r="AX53" s="1594"/>
      <c r="AY53" s="1594"/>
      <c r="AZ53" s="1594"/>
      <c r="BA53" s="1594"/>
      <c r="BB53" s="1594"/>
      <c r="BC53" s="1594"/>
      <c r="BD53" s="1594"/>
      <c r="BE53" s="1594"/>
      <c r="BF53" s="1594"/>
      <c r="BG53" s="1594"/>
      <c r="BH53" s="1594"/>
      <c r="BI53" s="1594"/>
      <c r="BJ53" s="1594"/>
      <c r="BK53" s="1594"/>
      <c r="BL53" s="1594"/>
      <c r="BM53" s="1594"/>
      <c r="BN53" s="1594"/>
      <c r="BO53" s="1594"/>
      <c r="BP53" s="1594"/>
      <c r="BQ53" s="1594"/>
      <c r="BR53" s="1594"/>
      <c r="BS53" s="1594"/>
      <c r="BT53" s="1594"/>
      <c r="BU53" s="1594"/>
      <c r="BV53" s="1594"/>
      <c r="BW53" s="1594"/>
      <c r="BX53" s="1594"/>
      <c r="BY53" s="1594"/>
      <c r="BZ53" s="1594"/>
      <c r="CA53" s="1594"/>
      <c r="CB53" s="1594"/>
      <c r="CC53" s="1594"/>
      <c r="CD53" s="1594"/>
      <c r="CE53" s="1594"/>
      <c r="CF53" s="1594"/>
      <c r="CG53" s="1594"/>
      <c r="CH53" s="1594"/>
      <c r="CI53" s="1594"/>
      <c r="CJ53" s="1594"/>
      <c r="CK53" s="1594"/>
      <c r="CL53" s="1594"/>
      <c r="CM53" s="1594"/>
      <c r="CN53" s="1594"/>
      <c r="CO53" s="1594"/>
      <c r="CP53" s="1594"/>
      <c r="CQ53" s="1594"/>
      <c r="CR53" s="1594"/>
      <c r="CS53" s="1594"/>
      <c r="CT53" s="1594"/>
      <c r="CU53" s="1594"/>
      <c r="CV53" s="1594"/>
      <c r="CW53" s="1594"/>
      <c r="CX53" s="1594"/>
      <c r="CY53" s="1594"/>
      <c r="CZ53" s="1594"/>
    </row>
    <row r="54" spans="1:104">
      <c r="A54" s="1584"/>
      <c r="B54" s="141"/>
      <c r="C54" s="1594"/>
      <c r="D54" s="317"/>
      <c r="E54" s="1594"/>
      <c r="F54" s="317"/>
      <c r="G54" s="1594"/>
      <c r="Q54" s="322"/>
      <c r="R54" s="1594"/>
      <c r="S54" s="1594"/>
      <c r="T54" s="1594"/>
      <c r="U54" s="622"/>
      <c r="V54" s="499"/>
      <c r="W54" s="317"/>
      <c r="X54" s="317"/>
      <c r="Y54" s="317"/>
      <c r="Z54" s="317"/>
      <c r="AA54" s="1594"/>
      <c r="AB54" s="1594"/>
      <c r="AC54" s="317"/>
      <c r="AD54" s="1594"/>
      <c r="AE54" s="1594"/>
      <c r="AF54" s="1594"/>
      <c r="AG54" s="1594"/>
      <c r="AH54" s="1594"/>
      <c r="AI54" s="1594"/>
      <c r="AJ54" s="1594"/>
      <c r="AK54" s="1594"/>
      <c r="AL54" s="1594"/>
      <c r="AM54" s="1594"/>
      <c r="AN54" s="1594"/>
      <c r="AO54" s="1594"/>
      <c r="AP54" s="1594"/>
      <c r="AQ54" s="1594"/>
      <c r="AR54" s="1594"/>
      <c r="AS54" s="1594"/>
      <c r="AT54" s="1594"/>
      <c r="AU54" s="1594"/>
      <c r="AV54" s="1594"/>
      <c r="AW54" s="1594"/>
      <c r="AX54" s="1594"/>
      <c r="AY54" s="1594"/>
      <c r="AZ54" s="1594"/>
      <c r="BA54" s="1594"/>
      <c r="BB54" s="1594"/>
      <c r="BC54" s="1594"/>
      <c r="BD54" s="1594"/>
      <c r="BE54" s="1594"/>
      <c r="BF54" s="1594"/>
      <c r="BG54" s="1594"/>
      <c r="BH54" s="1594"/>
      <c r="BI54" s="1594"/>
      <c r="BJ54" s="1594"/>
      <c r="BK54" s="1594"/>
      <c r="BL54" s="1594"/>
      <c r="BM54" s="1594"/>
      <c r="BN54" s="1594"/>
      <c r="BO54" s="1594"/>
      <c r="BP54" s="1594"/>
      <c r="BQ54" s="1594"/>
      <c r="BR54" s="1594"/>
      <c r="BS54" s="1594"/>
      <c r="BT54" s="1594"/>
      <c r="BU54" s="1594"/>
      <c r="BV54" s="1594"/>
      <c r="BW54" s="1594"/>
      <c r="BX54" s="1594"/>
      <c r="BY54" s="1594"/>
      <c r="BZ54" s="1594"/>
      <c r="CA54" s="1594"/>
      <c r="CB54" s="1594"/>
      <c r="CC54" s="1594"/>
      <c r="CD54" s="1594"/>
      <c r="CE54" s="1594"/>
      <c r="CF54" s="1594"/>
      <c r="CG54" s="1594"/>
      <c r="CH54" s="1594"/>
      <c r="CI54" s="1594"/>
      <c r="CJ54" s="1594"/>
      <c r="CK54" s="1594"/>
      <c r="CL54" s="1594"/>
      <c r="CM54" s="1594"/>
      <c r="CN54" s="1594"/>
      <c r="CO54" s="1594"/>
      <c r="CP54" s="1594"/>
      <c r="CQ54" s="1594"/>
      <c r="CR54" s="1594"/>
      <c r="CS54" s="1594"/>
      <c r="CT54" s="1594"/>
      <c r="CU54" s="1594"/>
      <c r="CV54" s="1594"/>
      <c r="CW54" s="1594"/>
      <c r="CX54" s="1594"/>
      <c r="CY54" s="1594"/>
      <c r="CZ54" s="1594"/>
    </row>
    <row r="55" spans="1:104">
      <c r="A55" s="1584"/>
      <c r="B55" s="313" t="s">
        <v>2117</v>
      </c>
      <c r="C55" s="1594"/>
      <c r="D55" s="319">
        <f>-'TRAIL BALANCE'!F374-'TRAIL BALANCE'!F415</f>
        <v>995265.42</v>
      </c>
      <c r="E55" s="1594"/>
      <c r="F55" s="319">
        <f>-'TRAIL BALANCE'!E374-'TRAIL BALANCE'!E373</f>
        <v>226442.71</v>
      </c>
      <c r="G55" s="1594"/>
      <c r="Q55" s="322"/>
      <c r="R55" s="1594"/>
      <c r="S55" s="1594"/>
      <c r="T55" s="1594"/>
      <c r="U55" s="622"/>
      <c r="V55" s="499"/>
      <c r="W55" s="317"/>
      <c r="X55" s="317"/>
      <c r="Y55" s="317"/>
      <c r="Z55" s="317"/>
      <c r="AA55" s="1594"/>
      <c r="AB55" s="1594"/>
      <c r="AC55" s="317"/>
      <c r="AD55" s="1594"/>
      <c r="AE55" s="1594"/>
      <c r="AF55" s="1594"/>
      <c r="AG55" s="1594"/>
      <c r="AH55" s="1594"/>
      <c r="AI55" s="1594"/>
      <c r="AJ55" s="1594"/>
      <c r="AK55" s="1594"/>
      <c r="AL55" s="1594"/>
      <c r="AM55" s="1594"/>
      <c r="AN55" s="1594"/>
      <c r="AO55" s="1594"/>
      <c r="AP55" s="1594"/>
      <c r="AQ55" s="1594"/>
      <c r="AR55" s="1594"/>
      <c r="AS55" s="1594"/>
      <c r="AT55" s="1594"/>
      <c r="AU55" s="1594"/>
      <c r="AV55" s="1594"/>
      <c r="AW55" s="1594"/>
      <c r="AX55" s="1594"/>
      <c r="AY55" s="1594"/>
      <c r="AZ55" s="1594"/>
      <c r="BA55" s="1594"/>
      <c r="BB55" s="1594"/>
      <c r="BC55" s="1594"/>
      <c r="BD55" s="1594"/>
      <c r="BE55" s="1594"/>
      <c r="BF55" s="1594"/>
      <c r="BG55" s="1594"/>
      <c r="BH55" s="1594"/>
      <c r="BI55" s="1594"/>
      <c r="BJ55" s="1594"/>
      <c r="BK55" s="1594"/>
      <c r="BL55" s="1594"/>
      <c r="BM55" s="1594"/>
      <c r="BN55" s="1594"/>
      <c r="BO55" s="1594"/>
      <c r="BP55" s="1594"/>
      <c r="BQ55" s="1594"/>
      <c r="BR55" s="1594"/>
      <c r="BS55" s="1594"/>
      <c r="BT55" s="1594"/>
      <c r="BU55" s="1594"/>
      <c r="BV55" s="1594"/>
      <c r="BW55" s="1594"/>
      <c r="BX55" s="1594"/>
      <c r="BY55" s="1594"/>
      <c r="BZ55" s="1594"/>
      <c r="CA55" s="1594"/>
      <c r="CB55" s="1594"/>
      <c r="CC55" s="1594"/>
      <c r="CD55" s="1594"/>
      <c r="CE55" s="1594"/>
      <c r="CF55" s="1594"/>
      <c r="CG55" s="1594"/>
      <c r="CH55" s="1594"/>
      <c r="CI55" s="1594"/>
      <c r="CJ55" s="1594"/>
      <c r="CK55" s="1594"/>
      <c r="CL55" s="1594"/>
      <c r="CM55" s="1594"/>
      <c r="CN55" s="1594"/>
      <c r="CO55" s="1594"/>
      <c r="CP55" s="1594"/>
      <c r="CQ55" s="1594"/>
      <c r="CR55" s="1594"/>
      <c r="CS55" s="1594"/>
      <c r="CT55" s="1594"/>
      <c r="CU55" s="1594"/>
      <c r="CV55" s="1594"/>
      <c r="CW55" s="1594"/>
      <c r="CX55" s="1594"/>
      <c r="CY55" s="1594"/>
      <c r="CZ55" s="1594"/>
    </row>
    <row r="56" spans="1:104">
      <c r="A56" s="1584"/>
      <c r="B56" s="313" t="s">
        <v>2118</v>
      </c>
      <c r="C56" s="1594"/>
      <c r="D56" s="213"/>
      <c r="E56" s="1594"/>
      <c r="F56" s="213"/>
      <c r="G56" s="1594"/>
      <c r="Q56" s="322"/>
      <c r="R56" s="1594"/>
      <c r="S56" s="1594"/>
      <c r="T56" s="1594"/>
      <c r="U56" s="622"/>
      <c r="V56" s="499"/>
      <c r="W56" s="317"/>
      <c r="X56" s="317"/>
      <c r="Y56" s="317"/>
      <c r="Z56" s="317"/>
      <c r="AA56" s="1594"/>
      <c r="AB56" s="1594"/>
      <c r="AC56" s="317"/>
      <c r="AD56" s="1594"/>
      <c r="AE56" s="1594"/>
      <c r="AF56" s="1594"/>
      <c r="AG56" s="1594"/>
      <c r="AH56" s="1594"/>
      <c r="AI56" s="1594"/>
      <c r="AJ56" s="1594"/>
      <c r="AK56" s="1594"/>
      <c r="AL56" s="1594"/>
      <c r="AM56" s="1594"/>
      <c r="AN56" s="1594"/>
      <c r="AO56" s="1594"/>
      <c r="AP56" s="1594"/>
      <c r="AQ56" s="1594"/>
      <c r="AR56" s="1594"/>
      <c r="AS56" s="1594"/>
      <c r="AT56" s="1594"/>
      <c r="AU56" s="1594"/>
      <c r="AV56" s="1594"/>
      <c r="AW56" s="1594"/>
      <c r="AX56" s="1594"/>
      <c r="AY56" s="1594"/>
      <c r="AZ56" s="1594"/>
      <c r="BA56" s="1594"/>
      <c r="BB56" s="1594"/>
      <c r="BC56" s="1594"/>
      <c r="BD56" s="1594"/>
      <c r="BE56" s="1594"/>
      <c r="BF56" s="1594"/>
      <c r="BG56" s="1594"/>
      <c r="BH56" s="1594"/>
      <c r="BI56" s="1594"/>
      <c r="BJ56" s="1594"/>
      <c r="BK56" s="1594"/>
      <c r="BL56" s="1594"/>
      <c r="BM56" s="1594"/>
      <c r="BN56" s="1594"/>
      <c r="BO56" s="1594"/>
      <c r="BP56" s="1594"/>
      <c r="BQ56" s="1594"/>
      <c r="BR56" s="1594"/>
      <c r="BS56" s="1594"/>
      <c r="BT56" s="1594"/>
      <c r="BU56" s="1594"/>
      <c r="BV56" s="1594"/>
      <c r="BW56" s="1594"/>
      <c r="BX56" s="1594"/>
      <c r="BY56" s="1594"/>
      <c r="BZ56" s="1594"/>
      <c r="CA56" s="1594"/>
      <c r="CB56" s="1594"/>
      <c r="CC56" s="1594"/>
      <c r="CD56" s="1594"/>
      <c r="CE56" s="1594"/>
      <c r="CF56" s="1594"/>
      <c r="CG56" s="1594"/>
      <c r="CH56" s="1594"/>
      <c r="CI56" s="1594"/>
      <c r="CJ56" s="1594"/>
      <c r="CK56" s="1594"/>
      <c r="CL56" s="1594"/>
      <c r="CM56" s="1594"/>
      <c r="CN56" s="1594"/>
      <c r="CO56" s="1594"/>
      <c r="CP56" s="1594"/>
      <c r="CQ56" s="1594"/>
      <c r="CR56" s="1594"/>
      <c r="CS56" s="1594"/>
      <c r="CT56" s="1594"/>
      <c r="CU56" s="1594"/>
      <c r="CV56" s="1594"/>
      <c r="CW56" s="1594"/>
      <c r="CX56" s="1594"/>
      <c r="CY56" s="1594"/>
      <c r="CZ56" s="1594"/>
    </row>
    <row r="57" spans="1:104">
      <c r="A57" s="1584"/>
      <c r="B57" s="313" t="s">
        <v>2119</v>
      </c>
      <c r="C57" s="1594"/>
      <c r="D57" s="338"/>
      <c r="E57" s="1594"/>
      <c r="F57" s="338"/>
      <c r="G57" s="1594"/>
      <c r="Q57" s="322"/>
      <c r="R57" s="1594"/>
      <c r="S57" s="1594"/>
      <c r="T57" s="1594"/>
      <c r="U57" s="622"/>
      <c r="V57" s="499"/>
      <c r="W57" s="317"/>
      <c r="X57" s="317"/>
      <c r="Y57" s="317"/>
      <c r="Z57" s="317"/>
      <c r="AA57" s="1594"/>
      <c r="AB57" s="1594"/>
      <c r="AC57" s="317"/>
      <c r="AD57" s="1594"/>
      <c r="AE57" s="1594"/>
      <c r="AF57" s="1594"/>
      <c r="AG57" s="1594"/>
      <c r="AH57" s="1594"/>
      <c r="AI57" s="1594"/>
      <c r="AJ57" s="1594"/>
      <c r="AK57" s="1594"/>
      <c r="AL57" s="1594"/>
      <c r="AM57" s="1594"/>
      <c r="AN57" s="1594"/>
      <c r="AO57" s="1594"/>
      <c r="AP57" s="1594"/>
      <c r="AQ57" s="1594"/>
      <c r="AR57" s="1594"/>
      <c r="AS57" s="1594"/>
      <c r="AT57" s="1594"/>
      <c r="AU57" s="1594"/>
      <c r="AV57" s="1594"/>
      <c r="AW57" s="1594"/>
      <c r="AX57" s="1594"/>
      <c r="AY57" s="1594"/>
      <c r="AZ57" s="1594"/>
      <c r="BA57" s="1594"/>
      <c r="BB57" s="1594"/>
      <c r="BC57" s="1594"/>
      <c r="BD57" s="1594"/>
      <c r="BE57" s="1594"/>
      <c r="BF57" s="1594"/>
      <c r="BG57" s="1594"/>
      <c r="BH57" s="1594"/>
      <c r="BI57" s="1594"/>
      <c r="BJ57" s="1594"/>
      <c r="BK57" s="1594"/>
      <c r="BL57" s="1594"/>
      <c r="BM57" s="1594"/>
      <c r="BN57" s="1594"/>
      <c r="BO57" s="1594"/>
      <c r="BP57" s="1594"/>
      <c r="BQ57" s="1594"/>
      <c r="BR57" s="1594"/>
      <c r="BS57" s="1594"/>
      <c r="BT57" s="1594"/>
      <c r="BU57" s="1594"/>
      <c r="BV57" s="1594"/>
      <c r="BW57" s="1594"/>
      <c r="BX57" s="1594"/>
      <c r="BY57" s="1594"/>
      <c r="BZ57" s="1594"/>
      <c r="CA57" s="1594"/>
      <c r="CB57" s="1594"/>
      <c r="CC57" s="1594"/>
      <c r="CD57" s="1594"/>
      <c r="CE57" s="1594"/>
      <c r="CF57" s="1594"/>
      <c r="CG57" s="1594"/>
      <c r="CH57" s="1594"/>
      <c r="CI57" s="1594"/>
      <c r="CJ57" s="1594"/>
      <c r="CK57" s="1594"/>
      <c r="CL57" s="1594"/>
      <c r="CM57" s="1594"/>
      <c r="CN57" s="1594"/>
      <c r="CO57" s="1594"/>
      <c r="CP57" s="1594"/>
      <c r="CQ57" s="1594"/>
      <c r="CR57" s="1594"/>
      <c r="CS57" s="1594"/>
      <c r="CT57" s="1594"/>
      <c r="CU57" s="1594"/>
      <c r="CV57" s="1594"/>
      <c r="CW57" s="1594"/>
      <c r="CX57" s="1594"/>
      <c r="CY57" s="1594"/>
      <c r="CZ57" s="1594"/>
    </row>
    <row r="58" spans="1:104">
      <c r="A58" s="1584"/>
      <c r="C58" s="1594"/>
      <c r="D58" s="317"/>
      <c r="E58" s="1594"/>
      <c r="F58" s="317"/>
      <c r="G58" s="1594"/>
      <c r="Q58" s="322"/>
      <c r="R58" s="1594"/>
      <c r="S58" s="1594"/>
      <c r="T58" s="1594"/>
      <c r="U58" s="622"/>
      <c r="V58" s="499"/>
      <c r="W58" s="317"/>
      <c r="X58" s="317"/>
      <c r="Y58" s="317"/>
      <c r="Z58" s="317"/>
      <c r="AA58" s="1594"/>
      <c r="AB58" s="1594"/>
      <c r="AC58" s="317"/>
      <c r="AD58" s="1594"/>
      <c r="AE58" s="1594"/>
      <c r="AF58" s="1594"/>
      <c r="AG58" s="1594"/>
      <c r="AH58" s="1594"/>
      <c r="AI58" s="1594"/>
      <c r="AJ58" s="1594"/>
      <c r="AK58" s="1594"/>
      <c r="AL58" s="1594"/>
      <c r="AM58" s="1594"/>
      <c r="AN58" s="1594"/>
      <c r="AO58" s="1594"/>
      <c r="AP58" s="1594"/>
      <c r="AQ58" s="1594"/>
      <c r="AR58" s="1594"/>
      <c r="AS58" s="1594"/>
      <c r="AT58" s="1594"/>
      <c r="AU58" s="1594"/>
      <c r="AV58" s="1594"/>
      <c r="AW58" s="1594"/>
      <c r="AX58" s="1594"/>
      <c r="AY58" s="1594"/>
      <c r="AZ58" s="1594"/>
      <c r="BA58" s="1594"/>
      <c r="BB58" s="1594"/>
      <c r="BC58" s="1594"/>
      <c r="BD58" s="1594"/>
      <c r="BE58" s="1594"/>
      <c r="BF58" s="1594"/>
      <c r="BG58" s="1594"/>
      <c r="BH58" s="1594"/>
      <c r="BI58" s="1594"/>
      <c r="BJ58" s="1594"/>
      <c r="BK58" s="1594"/>
      <c r="BL58" s="1594"/>
      <c r="BM58" s="1594"/>
      <c r="BN58" s="1594"/>
      <c r="BO58" s="1594"/>
      <c r="BP58" s="1594"/>
      <c r="BQ58" s="1594"/>
      <c r="BR58" s="1594"/>
      <c r="BS58" s="1594"/>
      <c r="BT58" s="1594"/>
      <c r="BU58" s="1594"/>
      <c r="BV58" s="1594"/>
      <c r="BW58" s="1594"/>
      <c r="BX58" s="1594"/>
      <c r="BY58" s="1594"/>
      <c r="BZ58" s="1594"/>
      <c r="CA58" s="1594"/>
      <c r="CB58" s="1594"/>
      <c r="CC58" s="1594"/>
      <c r="CD58" s="1594"/>
      <c r="CE58" s="1594"/>
      <c r="CF58" s="1594"/>
      <c r="CG58" s="1594"/>
      <c r="CH58" s="1594"/>
      <c r="CI58" s="1594"/>
      <c r="CJ58" s="1594"/>
      <c r="CK58" s="1594"/>
      <c r="CL58" s="1594"/>
      <c r="CM58" s="1594"/>
      <c r="CN58" s="1594"/>
      <c r="CO58" s="1594"/>
      <c r="CP58" s="1594"/>
      <c r="CQ58" s="1594"/>
      <c r="CR58" s="1594"/>
      <c r="CS58" s="1594"/>
      <c r="CT58" s="1594"/>
      <c r="CU58" s="1594"/>
      <c r="CV58" s="1594"/>
      <c r="CW58" s="1594"/>
      <c r="CX58" s="1594"/>
      <c r="CY58" s="1594"/>
      <c r="CZ58" s="1594"/>
    </row>
    <row r="59" spans="1:104" ht="13.5" thickBot="1">
      <c r="A59" s="1584"/>
      <c r="B59" s="141" t="s">
        <v>2120</v>
      </c>
      <c r="C59" s="1594"/>
      <c r="D59" s="637">
        <f>SUM(D55:D57)</f>
        <v>995265.42</v>
      </c>
      <c r="E59" s="1594"/>
      <c r="F59" s="637">
        <f>SUM(F55:F57)</f>
        <v>226442.71</v>
      </c>
      <c r="G59" s="1594"/>
      <c r="Q59" s="322"/>
      <c r="R59" s="1594"/>
      <c r="S59" s="1594"/>
      <c r="T59" s="1594"/>
      <c r="U59" s="622"/>
      <c r="V59" s="499"/>
      <c r="W59" s="317"/>
      <c r="X59" s="317"/>
      <c r="Y59" s="317"/>
      <c r="Z59" s="317"/>
      <c r="AA59" s="1594"/>
      <c r="AB59" s="1594"/>
      <c r="AC59" s="317"/>
      <c r="AD59" s="1594"/>
      <c r="AE59" s="1594"/>
      <c r="AF59" s="1594"/>
      <c r="AG59" s="1594"/>
      <c r="AH59" s="1594"/>
      <c r="AI59" s="1594"/>
      <c r="AJ59" s="1594"/>
      <c r="AK59" s="1594"/>
      <c r="AL59" s="1594"/>
      <c r="AM59" s="1594"/>
      <c r="AN59" s="1594"/>
      <c r="AO59" s="1594"/>
      <c r="AP59" s="1594"/>
      <c r="AQ59" s="1594"/>
      <c r="AR59" s="1594"/>
      <c r="AS59" s="1594"/>
      <c r="AT59" s="1594"/>
      <c r="AU59" s="1594"/>
      <c r="AV59" s="1594"/>
      <c r="AW59" s="1594"/>
      <c r="AX59" s="1594"/>
      <c r="AY59" s="1594"/>
      <c r="AZ59" s="1594"/>
      <c r="BA59" s="1594"/>
      <c r="BB59" s="1594"/>
      <c r="BC59" s="1594"/>
      <c r="BD59" s="1594"/>
      <c r="BE59" s="1594"/>
      <c r="BF59" s="1594"/>
      <c r="BG59" s="1594"/>
      <c r="BH59" s="1594"/>
      <c r="BI59" s="1594"/>
      <c r="BJ59" s="1594"/>
      <c r="BK59" s="1594"/>
      <c r="BL59" s="1594"/>
      <c r="BM59" s="1594"/>
      <c r="BN59" s="1594"/>
      <c r="BO59" s="1594"/>
      <c r="BP59" s="1594"/>
      <c r="BQ59" s="1594"/>
      <c r="BR59" s="1594"/>
      <c r="BS59" s="1594"/>
      <c r="BT59" s="1594"/>
      <c r="BU59" s="1594"/>
      <c r="BV59" s="1594"/>
      <c r="BW59" s="1594"/>
      <c r="BX59" s="1594"/>
      <c r="BY59" s="1594"/>
      <c r="BZ59" s="1594"/>
      <c r="CA59" s="1594"/>
      <c r="CB59" s="1594"/>
      <c r="CC59" s="1594"/>
      <c r="CD59" s="1594"/>
      <c r="CE59" s="1594"/>
      <c r="CF59" s="1594"/>
      <c r="CG59" s="1594"/>
      <c r="CH59" s="1594"/>
      <c r="CI59" s="1594"/>
      <c r="CJ59" s="1594"/>
      <c r="CK59" s="1594"/>
      <c r="CL59" s="1594"/>
      <c r="CM59" s="1594"/>
      <c r="CN59" s="1594"/>
      <c r="CO59" s="1594"/>
      <c r="CP59" s="1594"/>
      <c r="CQ59" s="1594"/>
      <c r="CR59" s="1594"/>
      <c r="CS59" s="1594"/>
      <c r="CT59" s="1594"/>
      <c r="CU59" s="1594"/>
      <c r="CV59" s="1594"/>
      <c r="CW59" s="1594"/>
      <c r="CX59" s="1594"/>
      <c r="CY59" s="1594"/>
      <c r="CZ59" s="1594"/>
    </row>
    <row r="60" spans="1:104" ht="13.5" thickTop="1">
      <c r="A60" s="1584"/>
      <c r="B60" s="1594"/>
      <c r="C60" s="1594"/>
      <c r="D60" s="317"/>
      <c r="E60" s="1594"/>
      <c r="F60" s="317"/>
      <c r="G60" s="1594"/>
      <c r="Q60" s="322"/>
      <c r="R60" s="1594"/>
      <c r="S60" s="1594"/>
      <c r="T60" s="1594"/>
      <c r="U60" s="622"/>
      <c r="V60" s="499"/>
      <c r="W60" s="317"/>
      <c r="X60" s="317"/>
      <c r="Y60" s="317"/>
      <c r="Z60" s="317"/>
      <c r="AA60" s="1594"/>
      <c r="AB60" s="1594"/>
      <c r="AC60" s="317"/>
      <c r="AD60" s="1594"/>
      <c r="AE60" s="1594"/>
      <c r="AF60" s="1594"/>
      <c r="AG60" s="1594"/>
      <c r="AH60" s="1594"/>
      <c r="AI60" s="1594"/>
      <c r="AJ60" s="1594"/>
      <c r="AK60" s="1594"/>
      <c r="AL60" s="1594"/>
      <c r="AM60" s="1594"/>
      <c r="AN60" s="1594"/>
      <c r="AO60" s="1594"/>
      <c r="AP60" s="1594"/>
      <c r="AQ60" s="1594"/>
      <c r="AR60" s="1594"/>
      <c r="AS60" s="1594"/>
      <c r="AT60" s="1594"/>
      <c r="AU60" s="1594"/>
      <c r="AV60" s="1594"/>
      <c r="AW60" s="1594"/>
      <c r="AX60" s="1594"/>
      <c r="AY60" s="1594"/>
      <c r="AZ60" s="1594"/>
      <c r="BA60" s="1594"/>
      <c r="BB60" s="1594"/>
      <c r="BC60" s="1594"/>
      <c r="BD60" s="1594"/>
      <c r="BE60" s="1594"/>
      <c r="BF60" s="1594"/>
      <c r="BG60" s="1594"/>
      <c r="BH60" s="1594"/>
      <c r="BI60" s="1594"/>
      <c r="BJ60" s="1594"/>
      <c r="BK60" s="1594"/>
      <c r="BL60" s="1594"/>
      <c r="BM60" s="1594"/>
      <c r="BN60" s="1594"/>
      <c r="BO60" s="1594"/>
      <c r="BP60" s="1594"/>
      <c r="BQ60" s="1594"/>
      <c r="BR60" s="1594"/>
      <c r="BS60" s="1594"/>
      <c r="BT60" s="1594"/>
      <c r="BU60" s="1594"/>
      <c r="BV60" s="1594"/>
      <c r="BW60" s="1594"/>
      <c r="BX60" s="1594"/>
      <c r="BY60" s="1594"/>
      <c r="BZ60" s="1594"/>
      <c r="CA60" s="1594"/>
      <c r="CB60" s="1594"/>
      <c r="CC60" s="1594"/>
      <c r="CD60" s="1594"/>
      <c r="CE60" s="1594"/>
      <c r="CF60" s="1594"/>
      <c r="CG60" s="1594"/>
      <c r="CH60" s="1594"/>
      <c r="CI60" s="1594"/>
      <c r="CJ60" s="1594"/>
      <c r="CK60" s="1594"/>
      <c r="CL60" s="1594"/>
      <c r="CM60" s="1594"/>
      <c r="CN60" s="1594"/>
      <c r="CO60" s="1594"/>
      <c r="CP60" s="1594"/>
      <c r="CQ60" s="1594"/>
      <c r="CR60" s="1594"/>
      <c r="CS60" s="1594"/>
      <c r="CT60" s="1594"/>
      <c r="CU60" s="1594"/>
      <c r="CV60" s="1594"/>
      <c r="CW60" s="1594"/>
      <c r="CX60" s="1594"/>
      <c r="CY60" s="1594"/>
      <c r="CZ60" s="1594"/>
    </row>
    <row r="61" spans="1:104">
      <c r="A61" s="1584"/>
      <c r="B61" s="1594"/>
      <c r="C61" s="1594"/>
      <c r="D61" s="317"/>
      <c r="E61" s="1594"/>
      <c r="F61" s="317"/>
      <c r="G61" s="1594"/>
      <c r="Q61" s="322"/>
      <c r="R61" s="1594"/>
      <c r="S61" s="1594"/>
      <c r="T61" s="1594"/>
      <c r="U61" s="622"/>
      <c r="V61" s="499"/>
      <c r="W61" s="317"/>
      <c r="X61" s="317"/>
      <c r="Y61" s="317"/>
      <c r="Z61" s="317"/>
      <c r="AA61" s="1594"/>
      <c r="AB61" s="1594"/>
      <c r="AC61" s="317"/>
      <c r="AD61" s="1594"/>
      <c r="AE61" s="1594"/>
      <c r="AF61" s="1594"/>
      <c r="AG61" s="1594"/>
      <c r="AH61" s="1594"/>
      <c r="AI61" s="1594"/>
      <c r="AJ61" s="1594"/>
      <c r="AK61" s="1594"/>
      <c r="AL61" s="1594"/>
      <c r="AM61" s="1594"/>
      <c r="AN61" s="1594"/>
      <c r="AO61" s="1594"/>
      <c r="AP61" s="1594"/>
      <c r="AQ61" s="1594"/>
      <c r="AR61" s="1594"/>
      <c r="AS61" s="1594"/>
      <c r="AT61" s="1594"/>
      <c r="AU61" s="1594"/>
      <c r="AV61" s="1594"/>
      <c r="AW61" s="1594"/>
      <c r="AX61" s="1594"/>
      <c r="AY61" s="1594"/>
      <c r="AZ61" s="1594"/>
      <c r="BA61" s="1594"/>
      <c r="BB61" s="1594"/>
      <c r="BC61" s="1594"/>
      <c r="BD61" s="1594"/>
      <c r="BE61" s="1594"/>
      <c r="BF61" s="1594"/>
      <c r="BG61" s="1594"/>
      <c r="BH61" s="1594"/>
      <c r="BI61" s="1594"/>
      <c r="BJ61" s="1594"/>
      <c r="BK61" s="1594"/>
      <c r="BL61" s="1594"/>
      <c r="BM61" s="1594"/>
      <c r="BN61" s="1594"/>
      <c r="BO61" s="1594"/>
      <c r="BP61" s="1594"/>
      <c r="BQ61" s="1594"/>
      <c r="BR61" s="1594"/>
      <c r="BS61" s="1594"/>
      <c r="BT61" s="1594"/>
      <c r="BU61" s="1594"/>
      <c r="BV61" s="1594"/>
      <c r="BW61" s="1594"/>
      <c r="BX61" s="1594"/>
      <c r="BY61" s="1594"/>
      <c r="BZ61" s="1594"/>
      <c r="CA61" s="1594"/>
      <c r="CB61" s="1594"/>
      <c r="CC61" s="1594"/>
      <c r="CD61" s="1594"/>
      <c r="CE61" s="1594"/>
      <c r="CF61" s="1594"/>
      <c r="CG61" s="1594"/>
      <c r="CH61" s="1594"/>
      <c r="CI61" s="1594"/>
      <c r="CJ61" s="1594"/>
      <c r="CK61" s="1594"/>
      <c r="CL61" s="1594"/>
      <c r="CM61" s="1594"/>
      <c r="CN61" s="1594"/>
      <c r="CO61" s="1594"/>
      <c r="CP61" s="1594"/>
      <c r="CQ61" s="1594"/>
      <c r="CR61" s="1594"/>
      <c r="CS61" s="1594"/>
      <c r="CT61" s="1594"/>
      <c r="CU61" s="1594"/>
      <c r="CV61" s="1594"/>
      <c r="CW61" s="1594"/>
      <c r="CX61" s="1594"/>
      <c r="CY61" s="1594"/>
      <c r="CZ61" s="1594"/>
    </row>
    <row r="62" spans="1:104">
      <c r="A62" s="1584"/>
      <c r="B62" s="1594"/>
      <c r="C62" s="1594"/>
      <c r="D62" s="140" t="s">
        <v>2077</v>
      </c>
      <c r="E62" s="1594"/>
      <c r="F62" s="140" t="s">
        <v>1796</v>
      </c>
      <c r="G62" s="1594"/>
      <c r="Q62" s="276" t="s">
        <v>1452</v>
      </c>
      <c r="R62" s="1585"/>
      <c r="S62" s="1585"/>
      <c r="T62" s="1585"/>
      <c r="U62" s="225" t="s">
        <v>1036</v>
      </c>
      <c r="V62" s="499"/>
      <c r="W62" s="317"/>
      <c r="X62" s="317"/>
      <c r="Y62" s="136" t="s">
        <v>36</v>
      </c>
      <c r="Z62" s="317" t="s">
        <v>36</v>
      </c>
      <c r="AA62" s="1594"/>
      <c r="AB62" s="1594"/>
      <c r="AC62" s="317"/>
      <c r="AD62" s="1594"/>
      <c r="AE62" s="1594"/>
      <c r="AF62" s="1594"/>
      <c r="AG62" s="1594"/>
      <c r="AH62" s="1594"/>
      <c r="AI62" s="1594"/>
      <c r="AJ62" s="1594"/>
      <c r="AK62" s="1594"/>
      <c r="AL62" s="1594"/>
      <c r="AM62" s="1594"/>
      <c r="AN62" s="1594"/>
      <c r="AO62" s="1594"/>
      <c r="AP62" s="1594"/>
      <c r="AQ62" s="1594"/>
      <c r="AR62" s="1594"/>
      <c r="AS62" s="1594"/>
      <c r="AT62" s="1594"/>
      <c r="AU62" s="1594"/>
      <c r="AV62" s="1594"/>
      <c r="AW62" s="1594"/>
      <c r="AX62" s="1594"/>
      <c r="AY62" s="1594"/>
      <c r="AZ62" s="1594"/>
      <c r="BA62" s="1594"/>
      <c r="BB62" s="1594"/>
      <c r="BC62" s="1594"/>
      <c r="BD62" s="1594"/>
      <c r="BE62" s="1594"/>
      <c r="BF62" s="1594"/>
      <c r="BG62" s="1594"/>
      <c r="BH62" s="1594"/>
      <c r="BI62" s="1594"/>
      <c r="BJ62" s="1594"/>
      <c r="BK62" s="1594"/>
      <c r="BL62" s="1594"/>
      <c r="BM62" s="1594"/>
      <c r="BN62" s="1594"/>
      <c r="BO62" s="1594"/>
      <c r="BP62" s="1594"/>
      <c r="BQ62" s="1594"/>
      <c r="BR62" s="1594"/>
      <c r="BS62" s="1594"/>
      <c r="BT62" s="1594"/>
      <c r="BU62" s="1594"/>
      <c r="BV62" s="1594"/>
      <c r="BW62" s="1594"/>
      <c r="BX62" s="1594"/>
      <c r="BY62" s="1594"/>
      <c r="BZ62" s="1594"/>
      <c r="CA62" s="1594"/>
      <c r="CB62" s="1594"/>
      <c r="CC62" s="1594"/>
      <c r="CD62" s="1594"/>
      <c r="CE62" s="1594"/>
      <c r="CF62" s="1594"/>
      <c r="CG62" s="1594"/>
      <c r="CH62" s="1594"/>
      <c r="CI62" s="1594"/>
      <c r="CJ62" s="1594"/>
      <c r="CK62" s="1594"/>
      <c r="CL62" s="1594"/>
      <c r="CM62" s="1594"/>
      <c r="CN62" s="1594"/>
      <c r="CO62" s="1594"/>
      <c r="CP62" s="1594"/>
      <c r="CQ62" s="1594"/>
      <c r="CR62" s="1594"/>
      <c r="CS62" s="1594"/>
      <c r="CT62" s="1594"/>
      <c r="CU62" s="1594"/>
      <c r="CV62" s="1594"/>
      <c r="CW62" s="1594"/>
      <c r="CX62" s="1594"/>
      <c r="CY62" s="1594"/>
      <c r="CZ62" s="1594"/>
    </row>
    <row r="63" spans="1:104">
      <c r="A63" s="1584"/>
      <c r="B63" s="1594"/>
      <c r="C63" s="1594"/>
      <c r="D63" s="317"/>
      <c r="E63" s="1594"/>
      <c r="F63" s="317"/>
      <c r="G63" s="1594"/>
      <c r="Q63" s="1191" t="s">
        <v>1314</v>
      </c>
      <c r="R63" s="1585"/>
      <c r="S63" s="1585"/>
      <c r="T63" s="1585"/>
      <c r="U63" s="226" t="s">
        <v>1314</v>
      </c>
      <c r="V63" s="499"/>
      <c r="W63" s="317"/>
      <c r="X63" s="317"/>
      <c r="Y63" s="317"/>
      <c r="Z63" s="317"/>
      <c r="AA63" s="1594"/>
      <c r="AB63" s="1594"/>
      <c r="AC63" s="317"/>
      <c r="AD63" s="1594"/>
      <c r="AE63" s="1594"/>
      <c r="AF63" s="1594"/>
      <c r="AG63" s="1594"/>
      <c r="AH63" s="1594"/>
      <c r="AI63" s="1594"/>
      <c r="AJ63" s="1594"/>
      <c r="AK63" s="1594"/>
      <c r="AL63" s="1594"/>
      <c r="AM63" s="1594"/>
      <c r="AN63" s="1594"/>
      <c r="AO63" s="1594"/>
      <c r="AP63" s="1594"/>
      <c r="AQ63" s="1594"/>
      <c r="AR63" s="1594"/>
      <c r="AS63" s="1594"/>
      <c r="AT63" s="1594"/>
      <c r="AU63" s="1594"/>
      <c r="AV63" s="1594"/>
      <c r="AW63" s="1594"/>
      <c r="AX63" s="1594"/>
      <c r="AY63" s="1594"/>
      <c r="AZ63" s="1594"/>
      <c r="BA63" s="1594"/>
      <c r="BB63" s="1594"/>
      <c r="BC63" s="1594"/>
      <c r="BD63" s="1594"/>
      <c r="BE63" s="1594"/>
      <c r="BF63" s="1594"/>
      <c r="BG63" s="1594"/>
      <c r="BH63" s="1594"/>
      <c r="BI63" s="1594"/>
      <c r="BJ63" s="1594"/>
      <c r="BK63" s="1594"/>
      <c r="BL63" s="1594"/>
      <c r="BM63" s="1594"/>
      <c r="BN63" s="1594"/>
      <c r="BO63" s="1594"/>
      <c r="BP63" s="1594"/>
      <c r="BQ63" s="1594"/>
      <c r="BR63" s="1594"/>
      <c r="BS63" s="1594"/>
      <c r="BT63" s="1594"/>
      <c r="BU63" s="1594"/>
      <c r="BV63" s="1594"/>
      <c r="BW63" s="1594"/>
      <c r="BX63" s="1594"/>
      <c r="BY63" s="1594"/>
      <c r="BZ63" s="1594"/>
      <c r="CA63" s="1594"/>
      <c r="CB63" s="1594"/>
      <c r="CC63" s="1594"/>
      <c r="CD63" s="1594"/>
      <c r="CE63" s="1594"/>
      <c r="CF63" s="1594"/>
      <c r="CG63" s="1594"/>
      <c r="CH63" s="1594"/>
      <c r="CI63" s="1594"/>
      <c r="CJ63" s="1594"/>
      <c r="CK63" s="1594"/>
      <c r="CL63" s="1594"/>
      <c r="CM63" s="1594"/>
      <c r="CN63" s="1594"/>
      <c r="CO63" s="1594"/>
      <c r="CP63" s="1594"/>
      <c r="CQ63" s="1594"/>
      <c r="CR63" s="1594"/>
      <c r="CS63" s="1594"/>
      <c r="CT63" s="1594"/>
      <c r="CU63" s="1594"/>
      <c r="CV63" s="1594"/>
      <c r="CW63" s="1594"/>
      <c r="CX63" s="1594"/>
      <c r="CY63" s="1594"/>
      <c r="CZ63" s="1594"/>
    </row>
    <row r="64" spans="1:104" s="141" customFormat="1">
      <c r="A64" s="1589">
        <v>21</v>
      </c>
      <c r="B64" s="135" t="s">
        <v>1246</v>
      </c>
      <c r="C64" s="135"/>
      <c r="D64" s="136"/>
      <c r="E64" s="135"/>
      <c r="F64" s="136"/>
      <c r="G64" s="135"/>
      <c r="H64" s="185"/>
      <c r="I64" s="135"/>
      <c r="J64" s="135"/>
      <c r="K64" s="135"/>
      <c r="L64" s="135"/>
      <c r="M64" s="135"/>
      <c r="N64" s="135"/>
      <c r="O64" s="135"/>
      <c r="P64" s="135"/>
      <c r="Q64" s="136"/>
      <c r="R64" s="135"/>
      <c r="S64" s="135"/>
      <c r="T64" s="135"/>
      <c r="U64" s="227"/>
      <c r="V64" s="223"/>
      <c r="W64" s="136"/>
      <c r="X64" s="136"/>
      <c r="Y64" s="136"/>
      <c r="Z64" s="136"/>
      <c r="AA64" s="135"/>
      <c r="AB64" s="135"/>
      <c r="AC64" s="136"/>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row>
    <row r="65" spans="1:104">
      <c r="A65" s="1584"/>
      <c r="B65" s="1594"/>
      <c r="C65" s="1594"/>
      <c r="D65" s="317"/>
      <c r="E65" s="1594"/>
      <c r="F65" s="317"/>
      <c r="G65" s="1594"/>
      <c r="Q65" s="317"/>
      <c r="R65" s="1594"/>
      <c r="S65" s="1594"/>
      <c r="T65" s="1594"/>
      <c r="U65" s="621"/>
      <c r="V65" s="499"/>
      <c r="W65" s="317"/>
      <c r="X65" s="317"/>
      <c r="Y65" s="317"/>
      <c r="Z65" s="317"/>
      <c r="AA65" s="1594"/>
      <c r="AB65" s="1594"/>
      <c r="AC65" s="317"/>
      <c r="AD65" s="1594"/>
      <c r="AE65" s="1594"/>
      <c r="AF65" s="1594"/>
      <c r="AG65" s="1594"/>
      <c r="AH65" s="1594"/>
      <c r="AI65" s="1594"/>
      <c r="AJ65" s="1594"/>
      <c r="AK65" s="1594"/>
      <c r="AL65" s="1594"/>
      <c r="AM65" s="1594"/>
      <c r="AN65" s="1594"/>
      <c r="AO65" s="1594"/>
      <c r="AP65" s="1594"/>
      <c r="AQ65" s="1594"/>
      <c r="AR65" s="1594"/>
      <c r="AS65" s="1594"/>
      <c r="AT65" s="1594"/>
      <c r="AU65" s="1594"/>
      <c r="AV65" s="1594"/>
      <c r="AW65" s="1594"/>
      <c r="AX65" s="1594"/>
      <c r="AY65" s="1594"/>
      <c r="AZ65" s="1594"/>
      <c r="BA65" s="1594"/>
      <c r="BB65" s="1594"/>
      <c r="BC65" s="1594"/>
      <c r="BD65" s="1594"/>
      <c r="BE65" s="1594"/>
      <c r="BF65" s="1594"/>
      <c r="BG65" s="1594"/>
      <c r="BH65" s="1594"/>
      <c r="BI65" s="1594"/>
      <c r="BJ65" s="1594"/>
      <c r="BK65" s="1594"/>
      <c r="BL65" s="1594"/>
      <c r="BM65" s="1594"/>
      <c r="BN65" s="1594"/>
      <c r="BO65" s="1594"/>
      <c r="BP65" s="1594"/>
      <c r="BQ65" s="1594"/>
      <c r="BR65" s="1594"/>
      <c r="BS65" s="1594"/>
      <c r="BT65" s="1594"/>
      <c r="BU65" s="1594"/>
      <c r="BV65" s="1594"/>
      <c r="BW65" s="1594"/>
      <c r="BX65" s="1594"/>
      <c r="BY65" s="1594"/>
      <c r="BZ65" s="1594"/>
      <c r="CA65" s="1594"/>
      <c r="CB65" s="1594"/>
      <c r="CC65" s="1594"/>
      <c r="CD65" s="1594"/>
      <c r="CE65" s="1594"/>
      <c r="CF65" s="1594"/>
      <c r="CG65" s="1594"/>
      <c r="CH65" s="1594"/>
      <c r="CI65" s="1594"/>
      <c r="CJ65" s="1594"/>
      <c r="CK65" s="1594"/>
      <c r="CL65" s="1594"/>
      <c r="CM65" s="1594"/>
      <c r="CN65" s="1594"/>
      <c r="CO65" s="1594"/>
      <c r="CP65" s="1594"/>
      <c r="CQ65" s="1594"/>
      <c r="CR65" s="1594"/>
      <c r="CS65" s="1594"/>
      <c r="CT65" s="1594"/>
      <c r="CU65" s="1594"/>
      <c r="CV65" s="1594"/>
      <c r="CW65" s="1594"/>
      <c r="CX65" s="1594"/>
      <c r="CY65" s="1594"/>
      <c r="CZ65" s="1594"/>
    </row>
    <row r="66" spans="1:104" s="639" customFormat="1">
      <c r="A66" s="1599">
        <v>21.1</v>
      </c>
      <c r="B66" s="1591" t="s">
        <v>1247</v>
      </c>
      <c r="C66" s="1591"/>
      <c r="D66" s="144">
        <f>SUM(D68:D72)</f>
        <v>27795257</v>
      </c>
      <c r="E66" s="1591"/>
      <c r="F66" s="144">
        <f>SUM(F68:F72)</f>
        <v>23424329.829999998</v>
      </c>
      <c r="G66" s="1595"/>
      <c r="H66" s="241"/>
      <c r="I66" s="1595"/>
      <c r="J66" s="1595"/>
      <c r="K66" s="1595"/>
      <c r="L66" s="1595"/>
      <c r="M66" s="1595"/>
      <c r="N66" s="1595"/>
      <c r="O66" s="1595"/>
      <c r="P66" s="1595"/>
      <c r="Q66" s="144" t="e">
        <f>SUM(Q68:Q72)</f>
        <v>#REF!</v>
      </c>
      <c r="R66" s="1595"/>
      <c r="S66" s="1595"/>
      <c r="T66" s="1595"/>
      <c r="U66" s="248" t="e">
        <f>SUM(U68:U72)</f>
        <v>#REF!</v>
      </c>
      <c r="V66" s="638"/>
      <c r="W66" s="325"/>
      <c r="X66" s="325"/>
      <c r="Y66" s="325"/>
      <c r="Z66" s="325"/>
      <c r="AA66" s="1595"/>
      <c r="AB66" s="1595"/>
      <c r="AC66" s="325"/>
      <c r="AD66" s="1595"/>
      <c r="AE66" s="1595"/>
      <c r="AF66" s="1595"/>
      <c r="AG66" s="1595"/>
      <c r="AH66" s="1595"/>
      <c r="AI66" s="1595"/>
      <c r="AJ66" s="1595"/>
      <c r="AK66" s="1595"/>
      <c r="AL66" s="1595"/>
      <c r="AM66" s="1595"/>
      <c r="AN66" s="1595"/>
      <c r="AO66" s="1595"/>
      <c r="AP66" s="1595"/>
      <c r="AQ66" s="1595"/>
      <c r="AR66" s="1595"/>
      <c r="AS66" s="1595"/>
      <c r="AT66" s="1595"/>
      <c r="AU66" s="1595"/>
      <c r="AV66" s="1595"/>
      <c r="AW66" s="1595"/>
      <c r="AX66" s="1595"/>
      <c r="AY66" s="1595"/>
      <c r="AZ66" s="1595"/>
      <c r="BA66" s="1595"/>
      <c r="BB66" s="1595"/>
      <c r="BC66" s="1595"/>
      <c r="BD66" s="1595"/>
      <c r="BE66" s="1595"/>
      <c r="BF66" s="1595"/>
      <c r="BG66" s="1595"/>
      <c r="BH66" s="1595"/>
      <c r="BI66" s="1595"/>
      <c r="BJ66" s="1595"/>
      <c r="BK66" s="1595"/>
      <c r="BL66" s="1595"/>
      <c r="BM66" s="1595"/>
      <c r="BN66" s="1595"/>
      <c r="BO66" s="1595"/>
      <c r="BP66" s="1595"/>
      <c r="BQ66" s="1595"/>
      <c r="BR66" s="1595"/>
      <c r="BS66" s="1595"/>
      <c r="BT66" s="1595"/>
      <c r="BU66" s="1595"/>
      <c r="BV66" s="1595"/>
      <c r="BW66" s="1595"/>
      <c r="BX66" s="1595"/>
      <c r="BY66" s="1595"/>
      <c r="BZ66" s="1595"/>
      <c r="CA66" s="1595"/>
      <c r="CB66" s="1595"/>
      <c r="CC66" s="1595"/>
      <c r="CD66" s="1595"/>
      <c r="CE66" s="1595"/>
      <c r="CF66" s="1595"/>
      <c r="CG66" s="1595"/>
      <c r="CH66" s="1595"/>
      <c r="CI66" s="1595"/>
      <c r="CJ66" s="1595"/>
      <c r="CK66" s="1595"/>
      <c r="CL66" s="1595"/>
      <c r="CM66" s="1595"/>
      <c r="CN66" s="1595"/>
      <c r="CO66" s="1595"/>
      <c r="CP66" s="1595"/>
      <c r="CQ66" s="1595"/>
      <c r="CR66" s="1595"/>
      <c r="CS66" s="1595"/>
      <c r="CT66" s="1595"/>
      <c r="CU66" s="1595"/>
      <c r="CV66" s="1595"/>
      <c r="CW66" s="1595"/>
      <c r="CX66" s="1595"/>
      <c r="CY66" s="1595"/>
      <c r="CZ66" s="1595"/>
    </row>
    <row r="67" spans="1:104" s="639" customFormat="1">
      <c r="A67" s="1599"/>
      <c r="B67" s="1591"/>
      <c r="C67" s="1591"/>
      <c r="D67" s="146"/>
      <c r="E67" s="1591"/>
      <c r="F67" s="144"/>
      <c r="G67" s="1595"/>
      <c r="H67" s="241"/>
      <c r="I67" s="1595"/>
      <c r="J67" s="1595"/>
      <c r="K67" s="1595"/>
      <c r="L67" s="1595"/>
      <c r="M67" s="1595"/>
      <c r="N67" s="1595"/>
      <c r="O67" s="1595"/>
      <c r="P67" s="1595"/>
      <c r="Q67" s="144"/>
      <c r="R67" s="1595"/>
      <c r="S67" s="1595"/>
      <c r="T67" s="1595"/>
      <c r="U67" s="248"/>
      <c r="V67" s="638"/>
      <c r="W67" s="325"/>
      <c r="X67" s="325"/>
      <c r="Y67" s="325"/>
      <c r="Z67" s="325"/>
      <c r="AA67" s="1595"/>
      <c r="AB67" s="1595"/>
      <c r="AC67" s="325"/>
      <c r="AD67" s="1595"/>
      <c r="AE67" s="1595"/>
      <c r="AF67" s="1595"/>
      <c r="AG67" s="1595"/>
      <c r="AH67" s="1595"/>
      <c r="AI67" s="1595"/>
      <c r="AJ67" s="1595"/>
      <c r="AK67" s="1595"/>
      <c r="AL67" s="1595"/>
      <c r="AM67" s="1595"/>
      <c r="AN67" s="1595"/>
      <c r="AO67" s="1595"/>
      <c r="AP67" s="1595"/>
      <c r="AQ67" s="1595"/>
      <c r="AR67" s="1595"/>
      <c r="AS67" s="1595"/>
      <c r="AT67" s="1595"/>
      <c r="AU67" s="1595"/>
      <c r="AV67" s="1595"/>
      <c r="AW67" s="1595"/>
      <c r="AX67" s="1595"/>
      <c r="AY67" s="1595"/>
      <c r="AZ67" s="1595"/>
      <c r="BA67" s="1595"/>
      <c r="BB67" s="1595"/>
      <c r="BC67" s="1595"/>
      <c r="BD67" s="1595"/>
      <c r="BE67" s="1595"/>
      <c r="BF67" s="1595"/>
      <c r="BG67" s="1595"/>
      <c r="BH67" s="1595"/>
      <c r="BI67" s="1595"/>
      <c r="BJ67" s="1595"/>
      <c r="BK67" s="1595"/>
      <c r="BL67" s="1595"/>
      <c r="BM67" s="1595"/>
      <c r="BN67" s="1595"/>
      <c r="BO67" s="1595"/>
      <c r="BP67" s="1595"/>
      <c r="BQ67" s="1595"/>
      <c r="BR67" s="1595"/>
      <c r="BS67" s="1595"/>
      <c r="BT67" s="1595"/>
      <c r="BU67" s="1595"/>
      <c r="BV67" s="1595"/>
      <c r="BW67" s="1595"/>
      <c r="BX67" s="1595"/>
      <c r="BY67" s="1595"/>
      <c r="BZ67" s="1595"/>
      <c r="CA67" s="1595"/>
      <c r="CB67" s="1595"/>
      <c r="CC67" s="1595"/>
      <c r="CD67" s="1595"/>
      <c r="CE67" s="1595"/>
      <c r="CF67" s="1595"/>
      <c r="CG67" s="1595"/>
      <c r="CH67" s="1595"/>
      <c r="CI67" s="1595"/>
      <c r="CJ67" s="1595"/>
      <c r="CK67" s="1595"/>
      <c r="CL67" s="1595"/>
      <c r="CM67" s="1595"/>
      <c r="CN67" s="1595"/>
      <c r="CO67" s="1595"/>
      <c r="CP67" s="1595"/>
      <c r="CQ67" s="1595"/>
      <c r="CR67" s="1595"/>
      <c r="CS67" s="1595"/>
      <c r="CT67" s="1595"/>
      <c r="CU67" s="1595"/>
      <c r="CV67" s="1595"/>
      <c r="CW67" s="1595"/>
      <c r="CX67" s="1595"/>
      <c r="CY67" s="1595"/>
      <c r="CZ67" s="1595"/>
    </row>
    <row r="68" spans="1:104" s="639" customFormat="1">
      <c r="A68" s="1599"/>
      <c r="B68" s="1587" t="s">
        <v>1248</v>
      </c>
      <c r="C68" s="1587"/>
      <c r="D68" s="262">
        <f>-SUM('TRAIL BALANCE'!F188)</f>
        <v>24045257</v>
      </c>
      <c r="E68" s="1587"/>
      <c r="F68" s="262">
        <f>-SUM('TRAIL BALANCE'!E188)</f>
        <v>19589329.829999998</v>
      </c>
      <c r="G68" s="1595"/>
      <c r="H68" s="241"/>
      <c r="I68" s="1595"/>
      <c r="J68" s="1595"/>
      <c r="K68" s="1595"/>
      <c r="L68" s="1595"/>
      <c r="M68" s="1595"/>
      <c r="N68" s="1595"/>
      <c r="O68" s="1595"/>
      <c r="P68" s="1595"/>
      <c r="Q68" s="640" t="e">
        <f>-SUM('TRAIL BALANCE'!#REF!)</f>
        <v>#REF!</v>
      </c>
      <c r="R68" s="1595"/>
      <c r="S68" s="1595"/>
      <c r="T68" s="1595"/>
      <c r="U68" s="641" t="e">
        <f>-SUM('TRAIL BALANCE'!#REF!+'TRAIL BALANCE'!#REF!)</f>
        <v>#REF!</v>
      </c>
      <c r="V68" s="638"/>
      <c r="W68" s="325"/>
      <c r="X68" s="325"/>
      <c r="Y68" s="325"/>
      <c r="Z68" s="325"/>
      <c r="AA68" s="1595"/>
      <c r="AB68" s="1595"/>
      <c r="AC68" s="325"/>
      <c r="AD68" s="1595"/>
      <c r="AE68" s="1595"/>
      <c r="AF68" s="1595"/>
      <c r="AG68" s="1595"/>
      <c r="AH68" s="1595"/>
      <c r="AI68" s="1595"/>
      <c r="AJ68" s="1595"/>
      <c r="AK68" s="1595"/>
      <c r="AL68" s="1595"/>
      <c r="AM68" s="1595"/>
      <c r="AN68" s="1595"/>
      <c r="AO68" s="1595"/>
      <c r="AP68" s="1595"/>
      <c r="AQ68" s="1595"/>
      <c r="AR68" s="1595"/>
      <c r="AS68" s="1595"/>
      <c r="AT68" s="1595"/>
      <c r="AU68" s="1595"/>
      <c r="AV68" s="1595"/>
      <c r="AW68" s="1595"/>
      <c r="AX68" s="1595"/>
      <c r="AY68" s="1595"/>
      <c r="AZ68" s="1595"/>
      <c r="BA68" s="1595"/>
      <c r="BB68" s="1595"/>
      <c r="BC68" s="1595"/>
      <c r="BD68" s="1595"/>
      <c r="BE68" s="1595"/>
      <c r="BF68" s="1595"/>
      <c r="BG68" s="1595"/>
      <c r="BH68" s="1595"/>
      <c r="BI68" s="1595"/>
      <c r="BJ68" s="1595"/>
      <c r="BK68" s="1595"/>
      <c r="BL68" s="1595"/>
      <c r="BM68" s="1595"/>
      <c r="BN68" s="1595"/>
      <c r="BO68" s="1595"/>
      <c r="BP68" s="1595"/>
      <c r="BQ68" s="1595"/>
      <c r="BR68" s="1595"/>
      <c r="BS68" s="1595"/>
      <c r="BT68" s="1595"/>
      <c r="BU68" s="1595"/>
      <c r="BV68" s="1595"/>
      <c r="BW68" s="1595"/>
      <c r="BX68" s="1595"/>
      <c r="BY68" s="1595"/>
      <c r="BZ68" s="1595"/>
      <c r="CA68" s="1595"/>
      <c r="CB68" s="1595"/>
      <c r="CC68" s="1595"/>
      <c r="CD68" s="1595"/>
      <c r="CE68" s="1595"/>
      <c r="CF68" s="1595"/>
      <c r="CG68" s="1595"/>
      <c r="CH68" s="1595"/>
      <c r="CI68" s="1595"/>
      <c r="CJ68" s="1595"/>
      <c r="CK68" s="1595"/>
      <c r="CL68" s="1595"/>
      <c r="CM68" s="1595"/>
      <c r="CN68" s="1595"/>
      <c r="CO68" s="1595"/>
      <c r="CP68" s="1595"/>
      <c r="CQ68" s="1595"/>
      <c r="CR68" s="1595"/>
      <c r="CS68" s="1595"/>
      <c r="CT68" s="1595"/>
      <c r="CU68" s="1595"/>
      <c r="CV68" s="1595"/>
      <c r="CW68" s="1595"/>
      <c r="CX68" s="1595"/>
      <c r="CY68" s="1595"/>
      <c r="CZ68" s="1595"/>
    </row>
    <row r="69" spans="1:104" s="639" customFormat="1">
      <c r="A69" s="1599"/>
      <c r="B69" s="1587" t="s">
        <v>2067</v>
      </c>
      <c r="C69" s="1587"/>
      <c r="D69" s="331">
        <f>-'TRAIL BALANCE'!F12</f>
        <v>0</v>
      </c>
      <c r="E69" s="1587"/>
      <c r="F69" s="331">
        <f>-'TRAIL BALANCE'!E12</f>
        <v>350000</v>
      </c>
      <c r="G69" s="1595"/>
      <c r="H69" s="241"/>
      <c r="I69" s="1595"/>
      <c r="J69" s="1595"/>
      <c r="K69" s="1595"/>
      <c r="L69" s="1595"/>
      <c r="M69" s="1595"/>
      <c r="N69" s="1595"/>
      <c r="O69" s="1595"/>
      <c r="P69" s="1595"/>
      <c r="Q69" s="555"/>
      <c r="R69" s="1595"/>
      <c r="S69" s="1595"/>
      <c r="T69" s="1595"/>
      <c r="U69" s="642"/>
      <c r="V69" s="638"/>
      <c r="W69" s="325"/>
      <c r="X69" s="325"/>
      <c r="Y69" s="325"/>
      <c r="Z69" s="325"/>
      <c r="AA69" s="1595"/>
      <c r="AB69" s="1595"/>
      <c r="AC69" s="325"/>
      <c r="AD69" s="1595"/>
      <c r="AE69" s="1595"/>
      <c r="AF69" s="1595"/>
      <c r="AG69" s="1595"/>
      <c r="AH69" s="1595"/>
      <c r="AI69" s="1595"/>
      <c r="AJ69" s="1595"/>
      <c r="AK69" s="1595"/>
      <c r="AL69" s="1595"/>
      <c r="AM69" s="1595"/>
      <c r="AN69" s="1595"/>
      <c r="AO69" s="1595"/>
      <c r="AP69" s="1595"/>
      <c r="AQ69" s="1595"/>
      <c r="AR69" s="1595"/>
      <c r="AS69" s="1595"/>
      <c r="AT69" s="1595"/>
      <c r="AU69" s="1595"/>
      <c r="AV69" s="1595"/>
      <c r="AW69" s="1595"/>
      <c r="AX69" s="1595"/>
      <c r="AY69" s="1595"/>
      <c r="AZ69" s="1595"/>
      <c r="BA69" s="1595"/>
      <c r="BB69" s="1595"/>
      <c r="BC69" s="1595"/>
      <c r="BD69" s="1595"/>
      <c r="BE69" s="1595"/>
      <c r="BF69" s="1595"/>
      <c r="BG69" s="1595"/>
      <c r="BH69" s="1595"/>
      <c r="BI69" s="1595"/>
      <c r="BJ69" s="1595"/>
      <c r="BK69" s="1595"/>
      <c r="BL69" s="1595"/>
      <c r="BM69" s="1595"/>
      <c r="BN69" s="1595"/>
      <c r="BO69" s="1595"/>
      <c r="BP69" s="1595"/>
      <c r="BQ69" s="1595"/>
      <c r="BR69" s="1595"/>
      <c r="BS69" s="1595"/>
      <c r="BT69" s="1595"/>
      <c r="BU69" s="1595"/>
      <c r="BV69" s="1595"/>
      <c r="BW69" s="1595"/>
      <c r="BX69" s="1595"/>
      <c r="BY69" s="1595"/>
      <c r="BZ69" s="1595"/>
      <c r="CA69" s="1595"/>
      <c r="CB69" s="1595"/>
      <c r="CC69" s="1595"/>
      <c r="CD69" s="1595"/>
      <c r="CE69" s="1595"/>
      <c r="CF69" s="1595"/>
      <c r="CG69" s="1595"/>
      <c r="CH69" s="1595"/>
      <c r="CI69" s="1595"/>
      <c r="CJ69" s="1595"/>
      <c r="CK69" s="1595"/>
      <c r="CL69" s="1595"/>
      <c r="CM69" s="1595"/>
      <c r="CN69" s="1595"/>
      <c r="CO69" s="1595"/>
      <c r="CP69" s="1595"/>
      <c r="CQ69" s="1595"/>
      <c r="CR69" s="1595"/>
      <c r="CS69" s="1595"/>
      <c r="CT69" s="1595"/>
      <c r="CU69" s="1595"/>
      <c r="CV69" s="1595"/>
      <c r="CW69" s="1595"/>
      <c r="CX69" s="1595"/>
      <c r="CY69" s="1595"/>
      <c r="CZ69" s="1595"/>
    </row>
    <row r="70" spans="1:104" s="639" customFormat="1">
      <c r="A70" s="1599"/>
      <c r="B70" s="1587" t="s">
        <v>1249</v>
      </c>
      <c r="C70" s="1587"/>
      <c r="D70" s="331">
        <f>-'TRAIL BALANCE'!F187</f>
        <v>3000000</v>
      </c>
      <c r="E70" s="1587"/>
      <c r="F70" s="331">
        <f>-'TRAIL BALANCE'!E187</f>
        <v>2750000</v>
      </c>
      <c r="G70" s="1595"/>
      <c r="H70" s="241"/>
      <c r="I70" s="1595"/>
      <c r="J70" s="1595"/>
      <c r="K70" s="1595"/>
      <c r="L70" s="1595"/>
      <c r="M70" s="1595"/>
      <c r="N70" s="1595"/>
      <c r="O70" s="1595"/>
      <c r="P70" s="1595"/>
      <c r="Q70" s="555" t="e">
        <f>-'TRAIL BALANCE'!#REF!</f>
        <v>#REF!</v>
      </c>
      <c r="R70" s="1595"/>
      <c r="S70" s="1595"/>
      <c r="T70" s="1595"/>
      <c r="U70" s="642" t="e">
        <f>-SUM('TRAIL BALANCE'!#REF!)</f>
        <v>#REF!</v>
      </c>
      <c r="V70" s="638"/>
      <c r="W70" s="325"/>
      <c r="X70" s="325"/>
      <c r="Y70" s="325"/>
      <c r="Z70" s="325"/>
      <c r="AA70" s="1595"/>
      <c r="AB70" s="1595"/>
      <c r="AC70" s="325"/>
      <c r="AD70" s="1595"/>
      <c r="AE70" s="1595"/>
      <c r="AF70" s="1595"/>
      <c r="AG70" s="1595"/>
      <c r="AH70" s="1595"/>
      <c r="AI70" s="1595"/>
      <c r="AJ70" s="1595"/>
      <c r="AK70" s="1595"/>
      <c r="AL70" s="1595"/>
      <c r="AM70" s="1595"/>
      <c r="AN70" s="1595"/>
      <c r="AO70" s="1595"/>
      <c r="AP70" s="1595"/>
      <c r="AQ70" s="1595"/>
      <c r="AR70" s="1595"/>
      <c r="AS70" s="1595"/>
      <c r="AT70" s="1595"/>
      <c r="AU70" s="1595"/>
      <c r="AV70" s="1595"/>
      <c r="AW70" s="1595"/>
      <c r="AX70" s="1595"/>
      <c r="AY70" s="1595"/>
      <c r="AZ70" s="1595"/>
      <c r="BA70" s="1595"/>
      <c r="BB70" s="1595"/>
      <c r="BC70" s="1595"/>
      <c r="BD70" s="1595"/>
      <c r="BE70" s="1595"/>
      <c r="BF70" s="1595"/>
      <c r="BG70" s="1595"/>
      <c r="BH70" s="1595"/>
      <c r="BI70" s="1595"/>
      <c r="BJ70" s="1595"/>
      <c r="BK70" s="1595"/>
      <c r="BL70" s="1595"/>
      <c r="BM70" s="1595"/>
      <c r="BN70" s="1595"/>
      <c r="BO70" s="1595"/>
      <c r="BP70" s="1595"/>
      <c r="BQ70" s="1595"/>
      <c r="BR70" s="1595"/>
      <c r="BS70" s="1595"/>
      <c r="BT70" s="1595"/>
      <c r="BU70" s="1595"/>
      <c r="BV70" s="1595"/>
      <c r="BW70" s="1595"/>
      <c r="BX70" s="1595"/>
      <c r="BY70" s="1595"/>
      <c r="BZ70" s="1595"/>
      <c r="CA70" s="1595"/>
      <c r="CB70" s="1595"/>
      <c r="CC70" s="1595"/>
      <c r="CD70" s="1595"/>
      <c r="CE70" s="1595"/>
      <c r="CF70" s="1595"/>
      <c r="CG70" s="1595"/>
      <c r="CH70" s="1595"/>
      <c r="CI70" s="1595"/>
      <c r="CJ70" s="1595"/>
      <c r="CK70" s="1595"/>
      <c r="CL70" s="1595"/>
      <c r="CM70" s="1595"/>
      <c r="CN70" s="1595"/>
      <c r="CO70" s="1595"/>
      <c r="CP70" s="1595"/>
      <c r="CQ70" s="1595"/>
      <c r="CR70" s="1595"/>
      <c r="CS70" s="1595"/>
      <c r="CT70" s="1595"/>
      <c r="CU70" s="1595"/>
      <c r="CV70" s="1595"/>
      <c r="CW70" s="1595"/>
      <c r="CX70" s="1595"/>
      <c r="CY70" s="1595"/>
      <c r="CZ70" s="1595"/>
    </row>
    <row r="71" spans="1:104" s="639" customFormat="1">
      <c r="A71" s="1599"/>
      <c r="B71" s="1587" t="s">
        <v>1250</v>
      </c>
      <c r="C71" s="1587"/>
      <c r="D71" s="331">
        <f>-SUM('TRAIL BALANCE'!F97)</f>
        <v>0</v>
      </c>
      <c r="E71" s="1587"/>
      <c r="F71" s="331">
        <f>-SUM('TRAIL BALANCE'!E97)</f>
        <v>0</v>
      </c>
      <c r="G71" s="1595"/>
      <c r="H71" s="241"/>
      <c r="I71" s="1595"/>
      <c r="J71" s="1595"/>
      <c r="K71" s="1595"/>
      <c r="L71" s="1595"/>
      <c r="M71" s="1595"/>
      <c r="N71" s="1595"/>
      <c r="O71" s="1595"/>
      <c r="P71" s="1595"/>
      <c r="Q71" s="555" t="e">
        <f>-SUM('TRAIL BALANCE'!#REF!)</f>
        <v>#REF!</v>
      </c>
      <c r="R71" s="1595"/>
      <c r="S71" s="1595"/>
      <c r="T71" s="1595"/>
      <c r="U71" s="642" t="e">
        <f>-SUM('TRAIL BALANCE'!#REF!)</f>
        <v>#REF!</v>
      </c>
      <c r="V71" s="638"/>
      <c r="W71" s="325"/>
      <c r="X71" s="325"/>
      <c r="Y71" s="325"/>
      <c r="Z71" s="325"/>
      <c r="AA71" s="1595"/>
      <c r="AB71" s="1595"/>
      <c r="AC71" s="325"/>
      <c r="AD71" s="1595"/>
      <c r="AE71" s="1595"/>
      <c r="AF71" s="1595"/>
      <c r="AG71" s="1595"/>
      <c r="AH71" s="1595"/>
      <c r="AI71" s="1595"/>
      <c r="AJ71" s="1595"/>
      <c r="AK71" s="1595"/>
      <c r="AL71" s="1595"/>
      <c r="AM71" s="1595"/>
      <c r="AN71" s="1595"/>
      <c r="AO71" s="1595"/>
      <c r="AP71" s="1595"/>
      <c r="AQ71" s="1595"/>
      <c r="AR71" s="1595"/>
      <c r="AS71" s="1595"/>
      <c r="AT71" s="1595"/>
      <c r="AU71" s="1595"/>
      <c r="AV71" s="1595"/>
      <c r="AW71" s="1595"/>
      <c r="AX71" s="1595"/>
      <c r="AY71" s="1595"/>
      <c r="AZ71" s="1595"/>
      <c r="BA71" s="1595"/>
      <c r="BB71" s="1595"/>
      <c r="BC71" s="1595"/>
      <c r="BD71" s="1595"/>
      <c r="BE71" s="1595"/>
      <c r="BF71" s="1595"/>
      <c r="BG71" s="1595"/>
      <c r="BH71" s="1595"/>
      <c r="BI71" s="1595"/>
      <c r="BJ71" s="1595"/>
      <c r="BK71" s="1595"/>
      <c r="BL71" s="1595"/>
      <c r="BM71" s="1595"/>
      <c r="BN71" s="1595"/>
      <c r="BO71" s="1595"/>
      <c r="BP71" s="1595"/>
      <c r="BQ71" s="1595"/>
      <c r="BR71" s="1595"/>
      <c r="BS71" s="1595"/>
      <c r="BT71" s="1595"/>
      <c r="BU71" s="1595"/>
      <c r="BV71" s="1595"/>
      <c r="BW71" s="1595"/>
      <c r="BX71" s="1595"/>
      <c r="BY71" s="1595"/>
      <c r="BZ71" s="1595"/>
      <c r="CA71" s="1595"/>
      <c r="CB71" s="1595"/>
      <c r="CC71" s="1595"/>
      <c r="CD71" s="1595"/>
      <c r="CE71" s="1595"/>
      <c r="CF71" s="1595"/>
      <c r="CG71" s="1595"/>
      <c r="CH71" s="1595"/>
      <c r="CI71" s="1595"/>
      <c r="CJ71" s="1595"/>
      <c r="CK71" s="1595"/>
      <c r="CL71" s="1595"/>
      <c r="CM71" s="1595"/>
      <c r="CN71" s="1595"/>
      <c r="CO71" s="1595"/>
      <c r="CP71" s="1595"/>
      <c r="CQ71" s="1595"/>
      <c r="CR71" s="1595"/>
      <c r="CS71" s="1595"/>
      <c r="CT71" s="1595"/>
      <c r="CU71" s="1595"/>
      <c r="CV71" s="1595"/>
      <c r="CW71" s="1595"/>
      <c r="CX71" s="1595"/>
      <c r="CY71" s="1595"/>
      <c r="CZ71" s="1595"/>
    </row>
    <row r="72" spans="1:104" s="639" customFormat="1">
      <c r="A72" s="1599"/>
      <c r="B72" s="1587" t="s">
        <v>1251</v>
      </c>
      <c r="C72" s="1587"/>
      <c r="D72" s="327">
        <f>-'TRAIL BALANCE'!F247</f>
        <v>750000</v>
      </c>
      <c r="E72" s="1587"/>
      <c r="F72" s="327">
        <f>-'TRAIL BALANCE'!E247</f>
        <v>735000</v>
      </c>
      <c r="G72" s="1595"/>
      <c r="H72" s="241"/>
      <c r="I72" s="1595"/>
      <c r="J72" s="1595"/>
      <c r="K72" s="1595"/>
      <c r="L72" s="1595"/>
      <c r="M72" s="1595"/>
      <c r="N72" s="1595"/>
      <c r="O72" s="1595"/>
      <c r="P72" s="1595"/>
      <c r="Q72" s="643" t="e">
        <f>-SUM('TRAIL BALANCE'!#REF!)</f>
        <v>#REF!</v>
      </c>
      <c r="R72" s="1595"/>
      <c r="S72" s="1595"/>
      <c r="T72" s="1595"/>
      <c r="U72" s="644" t="e">
        <f>-SUM('TRAIL BALANCE'!#REF!)</f>
        <v>#REF!</v>
      </c>
      <c r="V72" s="638"/>
      <c r="W72" s="325"/>
      <c r="X72" s="325"/>
      <c r="Y72" s="325"/>
      <c r="Z72" s="325"/>
      <c r="AA72" s="1595"/>
      <c r="AB72" s="1595"/>
      <c r="AC72" s="325"/>
      <c r="AD72" s="1595"/>
      <c r="AE72" s="1595"/>
      <c r="AF72" s="1595"/>
      <c r="AG72" s="1595"/>
      <c r="AH72" s="1595"/>
      <c r="AI72" s="1595"/>
      <c r="AJ72" s="1595"/>
      <c r="AK72" s="1595"/>
      <c r="AL72" s="1595"/>
      <c r="AM72" s="1595"/>
      <c r="AN72" s="1595"/>
      <c r="AO72" s="1595"/>
      <c r="AP72" s="1595"/>
      <c r="AQ72" s="1595"/>
      <c r="AR72" s="1595"/>
      <c r="AS72" s="1595"/>
      <c r="AT72" s="1595"/>
      <c r="AU72" s="1595"/>
      <c r="AV72" s="1595"/>
      <c r="AW72" s="1595"/>
      <c r="AX72" s="1595"/>
      <c r="AY72" s="1595"/>
      <c r="AZ72" s="1595"/>
      <c r="BA72" s="1595"/>
      <c r="BB72" s="1595"/>
      <c r="BC72" s="1595"/>
      <c r="BD72" s="1595"/>
      <c r="BE72" s="1595"/>
      <c r="BF72" s="1595"/>
      <c r="BG72" s="1595"/>
      <c r="BH72" s="1595"/>
      <c r="BI72" s="1595"/>
      <c r="BJ72" s="1595"/>
      <c r="BK72" s="1595"/>
      <c r="BL72" s="1595"/>
      <c r="BM72" s="1595"/>
      <c r="BN72" s="1595"/>
      <c r="BO72" s="1595"/>
      <c r="BP72" s="1595"/>
      <c r="BQ72" s="1595"/>
      <c r="BR72" s="1595"/>
      <c r="BS72" s="1595"/>
      <c r="BT72" s="1595"/>
      <c r="BU72" s="1595"/>
      <c r="BV72" s="1595"/>
      <c r="BW72" s="1595"/>
      <c r="BX72" s="1595"/>
      <c r="BY72" s="1595"/>
      <c r="BZ72" s="1595"/>
      <c r="CA72" s="1595"/>
      <c r="CB72" s="1595"/>
      <c r="CC72" s="1595"/>
      <c r="CD72" s="1595"/>
      <c r="CE72" s="1595"/>
      <c r="CF72" s="1595"/>
      <c r="CG72" s="1595"/>
      <c r="CH72" s="1595"/>
      <c r="CI72" s="1595"/>
      <c r="CJ72" s="1595"/>
      <c r="CK72" s="1595"/>
      <c r="CL72" s="1595"/>
      <c r="CM72" s="1595"/>
      <c r="CN72" s="1595"/>
      <c r="CO72" s="1595"/>
      <c r="CP72" s="1595"/>
      <c r="CQ72" s="1595"/>
      <c r="CR72" s="1595"/>
      <c r="CS72" s="1595"/>
      <c r="CT72" s="1595"/>
      <c r="CU72" s="1595"/>
      <c r="CV72" s="1595"/>
      <c r="CW72" s="1595"/>
      <c r="CX72" s="1595"/>
      <c r="CY72" s="1595"/>
      <c r="CZ72" s="1595"/>
    </row>
    <row r="73" spans="1:104">
      <c r="A73" s="1584"/>
      <c r="B73" s="1595"/>
      <c r="C73" s="1595"/>
      <c r="D73" s="325"/>
      <c r="E73" s="1595"/>
      <c r="F73" s="325"/>
      <c r="G73" s="1594"/>
      <c r="Q73" s="317"/>
      <c r="R73" s="1594"/>
      <c r="S73" s="1594"/>
      <c r="T73" s="1594"/>
      <c r="U73" s="621"/>
      <c r="V73" s="499"/>
      <c r="W73" s="317"/>
      <c r="X73" s="317"/>
      <c r="Y73" s="317"/>
      <c r="Z73" s="317"/>
      <c r="AA73" s="1594"/>
      <c r="AB73" s="1594"/>
      <c r="AC73" s="317"/>
      <c r="AD73" s="1594"/>
      <c r="AE73" s="1594"/>
      <c r="AF73" s="1594"/>
      <c r="AG73" s="1594"/>
      <c r="AH73" s="1594"/>
      <c r="AI73" s="1594"/>
      <c r="AJ73" s="1594"/>
      <c r="AK73" s="1594"/>
      <c r="AL73" s="1594"/>
      <c r="AM73" s="1594"/>
      <c r="AN73" s="1594"/>
      <c r="AO73" s="1594"/>
      <c r="AP73" s="1594"/>
      <c r="AQ73" s="1594"/>
      <c r="AR73" s="1594"/>
      <c r="AS73" s="1594"/>
      <c r="AT73" s="1594"/>
      <c r="AU73" s="1594"/>
      <c r="AV73" s="1594"/>
      <c r="AW73" s="1594"/>
      <c r="AX73" s="1594"/>
      <c r="AY73" s="1594"/>
      <c r="AZ73" s="1594"/>
      <c r="BA73" s="1594"/>
      <c r="BB73" s="1594"/>
      <c r="BC73" s="1594"/>
      <c r="BD73" s="1594"/>
      <c r="BE73" s="1594"/>
      <c r="BF73" s="1594"/>
      <c r="BG73" s="1594"/>
      <c r="BH73" s="1594"/>
      <c r="BI73" s="1594"/>
      <c r="BJ73" s="1594"/>
      <c r="BK73" s="1594"/>
      <c r="BL73" s="1594"/>
      <c r="BM73" s="1594"/>
      <c r="BN73" s="1594"/>
      <c r="BO73" s="1594"/>
      <c r="BP73" s="1594"/>
      <c r="BQ73" s="1594"/>
      <c r="BR73" s="1594"/>
      <c r="BS73" s="1594"/>
      <c r="BT73" s="1594"/>
      <c r="BU73" s="1594"/>
      <c r="BV73" s="1594"/>
      <c r="BW73" s="1594"/>
      <c r="BX73" s="1594"/>
      <c r="BY73" s="1594"/>
      <c r="BZ73" s="1594"/>
      <c r="CA73" s="1594"/>
      <c r="CB73" s="1594"/>
      <c r="CC73" s="1594"/>
      <c r="CD73" s="1594"/>
      <c r="CE73" s="1594"/>
      <c r="CF73" s="1594"/>
      <c r="CG73" s="1594"/>
      <c r="CH73" s="1594"/>
      <c r="CI73" s="1594"/>
      <c r="CJ73" s="1594"/>
      <c r="CK73" s="1594"/>
      <c r="CL73" s="1594"/>
      <c r="CM73" s="1594"/>
      <c r="CN73" s="1594"/>
      <c r="CO73" s="1594"/>
      <c r="CP73" s="1594"/>
      <c r="CQ73" s="1594"/>
      <c r="CR73" s="1594"/>
      <c r="CS73" s="1594"/>
      <c r="CT73" s="1594"/>
      <c r="CU73" s="1594"/>
      <c r="CV73" s="1594"/>
      <c r="CW73" s="1594"/>
      <c r="CX73" s="1594"/>
      <c r="CY73" s="1594"/>
      <c r="CZ73" s="1594"/>
    </row>
    <row r="74" spans="1:104">
      <c r="A74" s="1584"/>
      <c r="B74" s="1591"/>
      <c r="C74" s="1591"/>
      <c r="D74" s="146"/>
      <c r="E74" s="1591"/>
      <c r="F74" s="146"/>
      <c r="G74" s="1594"/>
      <c r="Q74" s="317"/>
      <c r="R74" s="1594"/>
      <c r="S74" s="1594"/>
      <c r="T74" s="1594"/>
      <c r="U74" s="621"/>
      <c r="V74" s="499"/>
      <c r="W74" s="317"/>
      <c r="X74" s="317"/>
      <c r="Y74" s="317"/>
      <c r="Z74" s="317"/>
      <c r="AA74" s="1594"/>
      <c r="AB74" s="1594"/>
      <c r="AC74" s="317"/>
      <c r="AD74" s="1594"/>
      <c r="AE74" s="1594"/>
      <c r="AF74" s="1594"/>
      <c r="AG74" s="1594"/>
      <c r="AH74" s="1594"/>
      <c r="AI74" s="1594"/>
      <c r="AJ74" s="1594"/>
      <c r="AK74" s="1594"/>
      <c r="AL74" s="1594"/>
      <c r="AM74" s="1594"/>
      <c r="AN74" s="1594"/>
      <c r="AO74" s="1594"/>
      <c r="AP74" s="1594"/>
      <c r="AQ74" s="1594"/>
      <c r="AR74" s="1594"/>
      <c r="AS74" s="1594"/>
      <c r="AT74" s="1594"/>
      <c r="AU74" s="1594"/>
      <c r="AV74" s="1594"/>
      <c r="AW74" s="1594"/>
      <c r="AX74" s="1594"/>
      <c r="AY74" s="1594"/>
      <c r="AZ74" s="1594"/>
      <c r="BA74" s="1594"/>
      <c r="BB74" s="1594"/>
      <c r="BC74" s="1594"/>
      <c r="BD74" s="1594"/>
      <c r="BE74" s="1594"/>
      <c r="BF74" s="1594"/>
      <c r="BG74" s="1594"/>
      <c r="BH74" s="1594"/>
      <c r="BI74" s="1594"/>
      <c r="BJ74" s="1594"/>
      <c r="BK74" s="1594"/>
      <c r="BL74" s="1594"/>
      <c r="BM74" s="1594"/>
      <c r="BN74" s="1594"/>
      <c r="BO74" s="1594"/>
      <c r="BP74" s="1594"/>
      <c r="BQ74" s="1594"/>
      <c r="BR74" s="1594"/>
      <c r="BS74" s="1594"/>
      <c r="BT74" s="1594"/>
      <c r="BU74" s="1594"/>
      <c r="BV74" s="1594"/>
      <c r="BW74" s="1594"/>
      <c r="BX74" s="1594"/>
      <c r="BY74" s="1594"/>
      <c r="BZ74" s="1594"/>
      <c r="CA74" s="1594"/>
      <c r="CB74" s="1594"/>
      <c r="CC74" s="1594"/>
      <c r="CD74" s="1594"/>
      <c r="CE74" s="1594"/>
      <c r="CF74" s="1594"/>
      <c r="CG74" s="1594"/>
      <c r="CH74" s="1594"/>
      <c r="CI74" s="1594"/>
      <c r="CJ74" s="1594"/>
      <c r="CK74" s="1594"/>
      <c r="CL74" s="1594"/>
      <c r="CM74" s="1594"/>
      <c r="CN74" s="1594"/>
      <c r="CO74" s="1594"/>
      <c r="CP74" s="1594"/>
      <c r="CQ74" s="1594"/>
      <c r="CR74" s="1594"/>
      <c r="CS74" s="1594"/>
      <c r="CT74" s="1594"/>
      <c r="CU74" s="1594"/>
      <c r="CV74" s="1594"/>
      <c r="CW74" s="1594"/>
      <c r="CX74" s="1594"/>
      <c r="CY74" s="1594"/>
      <c r="CZ74" s="1594"/>
    </row>
    <row r="75" spans="1:104" s="639" customFormat="1">
      <c r="A75" s="1599">
        <v>21.2</v>
      </c>
      <c r="B75" s="1591" t="s">
        <v>1252</v>
      </c>
      <c r="C75" s="1591"/>
      <c r="D75" s="144">
        <f>SUM(D77:D81)</f>
        <v>8606144</v>
      </c>
      <c r="E75" s="1591"/>
      <c r="F75" s="144">
        <f>SUM(F77:F81)</f>
        <v>7902795.96</v>
      </c>
      <c r="G75" s="1595"/>
      <c r="H75" s="241"/>
      <c r="I75" s="1595"/>
      <c r="J75" s="1595"/>
      <c r="K75" s="1595"/>
      <c r="L75" s="1595"/>
      <c r="M75" s="1595"/>
      <c r="N75" s="1595"/>
      <c r="O75" s="1595"/>
      <c r="P75" s="1595"/>
      <c r="Q75" s="144" t="e">
        <f>SUM(Q77:Q81)</f>
        <v>#REF!</v>
      </c>
      <c r="R75" s="1595"/>
      <c r="S75" s="1595"/>
      <c r="T75" s="1595"/>
      <c r="U75" s="248" t="e">
        <f>SUM(U77:U81)</f>
        <v>#REF!</v>
      </c>
      <c r="V75" s="638"/>
      <c r="W75" s="325"/>
      <c r="X75" s="325"/>
      <c r="Y75" s="325"/>
      <c r="Z75" s="325"/>
      <c r="AA75" s="1595"/>
      <c r="AB75" s="1595"/>
      <c r="AC75" s="325"/>
      <c r="AD75" s="1595"/>
      <c r="AE75" s="1595"/>
      <c r="AF75" s="1595"/>
      <c r="AG75" s="1595"/>
      <c r="AH75" s="1595"/>
      <c r="AI75" s="1595"/>
      <c r="AJ75" s="1595"/>
      <c r="AK75" s="1595"/>
      <c r="AL75" s="1595"/>
      <c r="AM75" s="1595"/>
      <c r="AN75" s="1595"/>
      <c r="AO75" s="1595"/>
      <c r="AP75" s="1595"/>
      <c r="AQ75" s="1595"/>
      <c r="AR75" s="1595"/>
      <c r="AS75" s="1595"/>
      <c r="AT75" s="1595"/>
      <c r="AU75" s="1595"/>
      <c r="AV75" s="1595"/>
      <c r="AW75" s="1595"/>
      <c r="AX75" s="1595"/>
      <c r="AY75" s="1595"/>
      <c r="AZ75" s="1595"/>
      <c r="BA75" s="1595"/>
      <c r="BB75" s="1595"/>
      <c r="BC75" s="1595"/>
      <c r="BD75" s="1595"/>
      <c r="BE75" s="1595"/>
      <c r="BF75" s="1595"/>
      <c r="BG75" s="1595"/>
      <c r="BH75" s="1595"/>
      <c r="BI75" s="1595"/>
      <c r="BJ75" s="1595"/>
      <c r="BK75" s="1595"/>
      <c r="BL75" s="1595"/>
      <c r="BM75" s="1595"/>
      <c r="BN75" s="1595"/>
      <c r="BO75" s="1595"/>
      <c r="BP75" s="1595"/>
      <c r="BQ75" s="1595"/>
      <c r="BR75" s="1595"/>
      <c r="BS75" s="1595"/>
      <c r="BT75" s="1595"/>
      <c r="BU75" s="1595"/>
      <c r="BV75" s="1595"/>
      <c r="BW75" s="1595"/>
      <c r="BX75" s="1595"/>
      <c r="BY75" s="1595"/>
      <c r="BZ75" s="1595"/>
      <c r="CA75" s="1595"/>
      <c r="CB75" s="1595"/>
      <c r="CC75" s="1595"/>
      <c r="CD75" s="1595"/>
      <c r="CE75" s="1595"/>
      <c r="CF75" s="1595"/>
      <c r="CG75" s="1595"/>
      <c r="CH75" s="1595"/>
      <c r="CI75" s="1595"/>
      <c r="CJ75" s="1595"/>
      <c r="CK75" s="1595"/>
      <c r="CL75" s="1595"/>
      <c r="CM75" s="1595"/>
      <c r="CN75" s="1595"/>
      <c r="CO75" s="1595"/>
      <c r="CP75" s="1595"/>
      <c r="CQ75" s="1595"/>
      <c r="CR75" s="1595"/>
      <c r="CS75" s="1595"/>
      <c r="CT75" s="1595"/>
      <c r="CU75" s="1595"/>
      <c r="CV75" s="1595"/>
      <c r="CW75" s="1595"/>
      <c r="CX75" s="1595"/>
      <c r="CY75" s="1595"/>
      <c r="CZ75" s="1595"/>
    </row>
    <row r="76" spans="1:104" s="639" customFormat="1">
      <c r="A76" s="1599"/>
      <c r="B76" s="1591"/>
      <c r="C76" s="1591"/>
      <c r="D76" s="146"/>
      <c r="E76" s="1591"/>
      <c r="F76" s="144"/>
      <c r="G76" s="1595"/>
      <c r="H76" s="241"/>
      <c r="I76" s="1595"/>
      <c r="J76" s="1595"/>
      <c r="K76" s="1595"/>
      <c r="L76" s="1595"/>
      <c r="M76" s="1595"/>
      <c r="N76" s="1595"/>
      <c r="O76" s="1595"/>
      <c r="P76" s="1595"/>
      <c r="Q76" s="144"/>
      <c r="R76" s="1595"/>
      <c r="S76" s="1595"/>
      <c r="T76" s="1595"/>
      <c r="U76" s="248"/>
      <c r="V76" s="638"/>
      <c r="W76" s="325"/>
      <c r="X76" s="325"/>
      <c r="Y76" s="325"/>
      <c r="Z76" s="325"/>
      <c r="AA76" s="1595"/>
      <c r="AB76" s="1595"/>
      <c r="AC76" s="325"/>
      <c r="AD76" s="1595"/>
      <c r="AE76" s="1595"/>
      <c r="AF76" s="1595"/>
      <c r="AG76" s="1595"/>
      <c r="AH76" s="1595"/>
      <c r="AI76" s="1595"/>
      <c r="AJ76" s="1595"/>
      <c r="AK76" s="1595"/>
      <c r="AL76" s="1595"/>
      <c r="AM76" s="1595"/>
      <c r="AN76" s="1595"/>
      <c r="AO76" s="1595"/>
      <c r="AP76" s="1595"/>
      <c r="AQ76" s="1595"/>
      <c r="AR76" s="1595"/>
      <c r="AS76" s="1595"/>
      <c r="AT76" s="1595"/>
      <c r="AU76" s="1595"/>
      <c r="AV76" s="1595"/>
      <c r="AW76" s="1595"/>
      <c r="AX76" s="1595"/>
      <c r="AY76" s="1595"/>
      <c r="AZ76" s="1595"/>
      <c r="BA76" s="1595"/>
      <c r="BB76" s="1595"/>
      <c r="BC76" s="1595"/>
      <c r="BD76" s="1595"/>
      <c r="BE76" s="1595"/>
      <c r="BF76" s="1595"/>
      <c r="BG76" s="1595"/>
      <c r="BH76" s="1595"/>
      <c r="BI76" s="1595"/>
      <c r="BJ76" s="1595"/>
      <c r="BK76" s="1595"/>
      <c r="BL76" s="1595"/>
      <c r="BM76" s="1595"/>
      <c r="BN76" s="1595"/>
      <c r="BO76" s="1595"/>
      <c r="BP76" s="1595"/>
      <c r="BQ76" s="1595"/>
      <c r="BR76" s="1595"/>
      <c r="BS76" s="1595"/>
      <c r="BT76" s="1595"/>
      <c r="BU76" s="1595"/>
      <c r="BV76" s="1595"/>
      <c r="BW76" s="1595"/>
      <c r="BX76" s="1595"/>
      <c r="BY76" s="1595"/>
      <c r="BZ76" s="1595"/>
      <c r="CA76" s="1595"/>
      <c r="CB76" s="1595"/>
      <c r="CC76" s="1595"/>
      <c r="CD76" s="1595"/>
      <c r="CE76" s="1595"/>
      <c r="CF76" s="1595"/>
      <c r="CG76" s="1595"/>
      <c r="CH76" s="1595"/>
      <c r="CI76" s="1595"/>
      <c r="CJ76" s="1595"/>
      <c r="CK76" s="1595"/>
      <c r="CL76" s="1595"/>
      <c r="CM76" s="1595"/>
      <c r="CN76" s="1595"/>
      <c r="CO76" s="1595"/>
      <c r="CP76" s="1595"/>
      <c r="CQ76" s="1595"/>
      <c r="CR76" s="1595"/>
      <c r="CS76" s="1595"/>
      <c r="CT76" s="1595"/>
      <c r="CU76" s="1595"/>
      <c r="CV76" s="1595"/>
      <c r="CW76" s="1595"/>
      <c r="CX76" s="1595"/>
      <c r="CY76" s="1595"/>
      <c r="CZ76" s="1595"/>
    </row>
    <row r="77" spans="1:104" s="639" customFormat="1">
      <c r="A77" s="1599"/>
      <c r="B77" s="1587" t="s">
        <v>1249</v>
      </c>
      <c r="C77" s="1587"/>
      <c r="D77" s="262">
        <v>0</v>
      </c>
      <c r="E77" s="1587"/>
      <c r="F77" s="262">
        <v>0</v>
      </c>
      <c r="G77" s="1595"/>
      <c r="H77" s="241"/>
      <c r="I77" s="1595"/>
      <c r="J77" s="1595"/>
      <c r="K77" s="1595"/>
      <c r="L77" s="1595"/>
      <c r="M77" s="1595"/>
      <c r="N77" s="1595"/>
      <c r="O77" s="1595"/>
      <c r="P77" s="1595"/>
      <c r="Q77" s="640">
        <v>0</v>
      </c>
      <c r="R77" s="1595"/>
      <c r="S77" s="1595"/>
      <c r="T77" s="1595"/>
      <c r="U77" s="641"/>
      <c r="V77" s="638"/>
      <c r="W77" s="325"/>
      <c r="X77" s="325"/>
      <c r="Y77" s="325"/>
      <c r="Z77" s="325"/>
      <c r="AA77" s="1595"/>
      <c r="AB77" s="1595"/>
      <c r="AC77" s="325"/>
      <c r="AD77" s="1595"/>
      <c r="AE77" s="1595"/>
      <c r="AF77" s="1595"/>
      <c r="AG77" s="1595"/>
      <c r="AH77" s="1595"/>
      <c r="AI77" s="1595"/>
      <c r="AJ77" s="1595"/>
      <c r="AK77" s="1595"/>
      <c r="AL77" s="1595"/>
      <c r="AM77" s="1595"/>
      <c r="AN77" s="1595"/>
      <c r="AO77" s="1595"/>
      <c r="AP77" s="1595"/>
      <c r="AQ77" s="1595"/>
      <c r="AR77" s="1595"/>
      <c r="AS77" s="1595"/>
      <c r="AT77" s="1595"/>
      <c r="AU77" s="1595"/>
      <c r="AV77" s="1595"/>
      <c r="AW77" s="1595"/>
      <c r="AX77" s="1595"/>
      <c r="AY77" s="1595"/>
      <c r="AZ77" s="1595"/>
      <c r="BA77" s="1595"/>
      <c r="BB77" s="1595"/>
      <c r="BC77" s="1595"/>
      <c r="BD77" s="1595"/>
      <c r="BE77" s="1595"/>
      <c r="BF77" s="1595"/>
      <c r="BG77" s="1595"/>
      <c r="BH77" s="1595"/>
      <c r="BI77" s="1595"/>
      <c r="BJ77" s="1595"/>
      <c r="BK77" s="1595"/>
      <c r="BL77" s="1595"/>
      <c r="BM77" s="1595"/>
      <c r="BN77" s="1595"/>
      <c r="BO77" s="1595"/>
      <c r="BP77" s="1595"/>
      <c r="BQ77" s="1595"/>
      <c r="BR77" s="1595"/>
      <c r="BS77" s="1595"/>
      <c r="BT77" s="1595"/>
      <c r="BU77" s="1595"/>
      <c r="BV77" s="1595"/>
      <c r="BW77" s="1595"/>
      <c r="BX77" s="1595"/>
      <c r="BY77" s="1595"/>
      <c r="BZ77" s="1595"/>
      <c r="CA77" s="1595"/>
      <c r="CB77" s="1595"/>
      <c r="CC77" s="1595"/>
      <c r="CD77" s="1595"/>
      <c r="CE77" s="1595"/>
      <c r="CF77" s="1595"/>
      <c r="CG77" s="1595"/>
      <c r="CH77" s="1595"/>
      <c r="CI77" s="1595"/>
      <c r="CJ77" s="1595"/>
      <c r="CK77" s="1595"/>
      <c r="CL77" s="1595"/>
      <c r="CM77" s="1595"/>
      <c r="CN77" s="1595"/>
      <c r="CO77" s="1595"/>
      <c r="CP77" s="1595"/>
      <c r="CQ77" s="1595"/>
      <c r="CR77" s="1595"/>
      <c r="CS77" s="1595"/>
      <c r="CT77" s="1595"/>
      <c r="CU77" s="1595"/>
      <c r="CV77" s="1595"/>
      <c r="CW77" s="1595"/>
      <c r="CX77" s="1595"/>
      <c r="CY77" s="1595"/>
      <c r="CZ77" s="1595"/>
    </row>
    <row r="78" spans="1:104" s="639" customFormat="1">
      <c r="A78" s="1599"/>
      <c r="B78" s="1587" t="s">
        <v>1253</v>
      </c>
      <c r="C78" s="1587"/>
      <c r="D78" s="331">
        <v>0</v>
      </c>
      <c r="E78" s="1587"/>
      <c r="F78" s="331">
        <v>0</v>
      </c>
      <c r="G78" s="1595"/>
      <c r="H78" s="241"/>
      <c r="I78" s="1595"/>
      <c r="J78" s="1595"/>
      <c r="K78" s="1595"/>
      <c r="L78" s="1595"/>
      <c r="M78" s="1595"/>
      <c r="N78" s="1595"/>
      <c r="O78" s="1595"/>
      <c r="P78" s="1595"/>
      <c r="Q78" s="555">
        <v>0</v>
      </c>
      <c r="R78" s="1595"/>
      <c r="S78" s="1595"/>
      <c r="T78" s="1595"/>
      <c r="U78" s="642">
        <v>0</v>
      </c>
      <c r="V78" s="638"/>
      <c r="W78" s="316" t="s">
        <v>36</v>
      </c>
      <c r="X78" s="325"/>
      <c r="Y78" s="325"/>
      <c r="Z78" s="325"/>
      <c r="AA78" s="1595"/>
      <c r="AB78" s="1595"/>
      <c r="AC78" s="325"/>
      <c r="AD78" s="1595"/>
      <c r="AE78" s="1595"/>
      <c r="AF78" s="1595"/>
      <c r="AG78" s="1595"/>
      <c r="AH78" s="1595"/>
      <c r="AI78" s="1595"/>
      <c r="AJ78" s="1595"/>
      <c r="AK78" s="1595"/>
      <c r="AL78" s="1595"/>
      <c r="AM78" s="1595"/>
      <c r="AN78" s="1595"/>
      <c r="AO78" s="1595"/>
      <c r="AP78" s="1595"/>
      <c r="AQ78" s="1595"/>
      <c r="AR78" s="1595"/>
      <c r="AS78" s="1595"/>
      <c r="AT78" s="1595"/>
      <c r="AU78" s="1595"/>
      <c r="AV78" s="1595"/>
      <c r="AW78" s="1595"/>
      <c r="AX78" s="1595"/>
      <c r="AY78" s="1595"/>
      <c r="AZ78" s="1595"/>
      <c r="BA78" s="1595"/>
      <c r="BB78" s="1595"/>
      <c r="BC78" s="1595"/>
      <c r="BD78" s="1595"/>
      <c r="BE78" s="1595"/>
      <c r="BF78" s="1595"/>
      <c r="BG78" s="1595"/>
      <c r="BH78" s="1595"/>
      <c r="BI78" s="1595"/>
      <c r="BJ78" s="1595"/>
      <c r="BK78" s="1595"/>
      <c r="BL78" s="1595"/>
      <c r="BM78" s="1595"/>
      <c r="BN78" s="1595"/>
      <c r="BO78" s="1595"/>
      <c r="BP78" s="1595"/>
      <c r="BQ78" s="1595"/>
      <c r="BR78" s="1595"/>
      <c r="BS78" s="1595"/>
      <c r="BT78" s="1595"/>
      <c r="BU78" s="1595"/>
      <c r="BV78" s="1595"/>
      <c r="BW78" s="1595"/>
      <c r="BX78" s="1595"/>
      <c r="BY78" s="1595"/>
      <c r="BZ78" s="1595"/>
      <c r="CA78" s="1595"/>
      <c r="CB78" s="1595"/>
      <c r="CC78" s="1595"/>
      <c r="CD78" s="1595"/>
      <c r="CE78" s="1595"/>
      <c r="CF78" s="1595"/>
      <c r="CG78" s="1595"/>
      <c r="CH78" s="1595"/>
      <c r="CI78" s="1595"/>
      <c r="CJ78" s="1595"/>
      <c r="CK78" s="1595"/>
      <c r="CL78" s="1595"/>
      <c r="CM78" s="1595"/>
      <c r="CN78" s="1595"/>
      <c r="CO78" s="1595"/>
      <c r="CP78" s="1595"/>
      <c r="CQ78" s="1595"/>
      <c r="CR78" s="1595"/>
      <c r="CS78" s="1595"/>
      <c r="CT78" s="1595"/>
      <c r="CU78" s="1595"/>
      <c r="CV78" s="1595"/>
      <c r="CW78" s="1595"/>
      <c r="CX78" s="1595"/>
      <c r="CY78" s="1595"/>
      <c r="CZ78" s="1595"/>
    </row>
    <row r="79" spans="1:104" s="639" customFormat="1">
      <c r="A79" s="1599"/>
      <c r="B79" s="1587" t="s">
        <v>1254</v>
      </c>
      <c r="C79" s="1587"/>
      <c r="D79" s="331">
        <v>8606144</v>
      </c>
      <c r="E79" s="1587"/>
      <c r="F79" s="331">
        <f>-'TRAIL BALANCE'!E377</f>
        <v>7902795.96</v>
      </c>
      <c r="G79" s="1595"/>
      <c r="H79" s="241"/>
      <c r="I79" s="1595"/>
      <c r="J79" s="1595"/>
      <c r="K79" s="1595"/>
      <c r="L79" s="1595"/>
      <c r="M79" s="1595"/>
      <c r="N79" s="1595"/>
      <c r="O79" s="1595"/>
      <c r="P79" s="1595"/>
      <c r="Q79" s="555" t="e">
        <f>-'TRAIL BALANCE'!#REF!</f>
        <v>#REF!</v>
      </c>
      <c r="R79" s="1595"/>
      <c r="S79" s="1595"/>
      <c r="T79" s="1595"/>
      <c r="U79" s="642" t="e">
        <f>-SUM('TRAIL BALANCE'!#REF!+'TRAIL BALANCE'!#REF!+'TRAIL BALANCE'!#REF!+'TRAIL BALANCE'!#REF!-'TRAIL BALANCE'!#REF!)</f>
        <v>#REF!</v>
      </c>
      <c r="V79" s="638"/>
      <c r="W79" s="325" t="s">
        <v>36</v>
      </c>
      <c r="X79" s="325" t="s">
        <v>36</v>
      </c>
      <c r="Y79" s="325"/>
      <c r="Z79" s="325"/>
      <c r="AA79" s="1595"/>
      <c r="AB79" s="1595"/>
      <c r="AC79" s="325"/>
      <c r="AD79" s="1595"/>
      <c r="AE79" s="1595"/>
      <c r="AF79" s="1595"/>
      <c r="AG79" s="1595"/>
      <c r="AH79" s="1595"/>
      <c r="AI79" s="1595"/>
      <c r="AJ79" s="1595"/>
      <c r="AK79" s="1595"/>
      <c r="AL79" s="1595"/>
      <c r="AM79" s="1595"/>
      <c r="AN79" s="1595"/>
      <c r="AO79" s="1595"/>
      <c r="AP79" s="1595"/>
      <c r="AQ79" s="1595"/>
      <c r="AR79" s="1595"/>
      <c r="AS79" s="1595"/>
      <c r="AT79" s="1595"/>
      <c r="AU79" s="1595"/>
      <c r="AV79" s="1595"/>
      <c r="AW79" s="1595"/>
      <c r="AX79" s="1595"/>
      <c r="AY79" s="1595"/>
      <c r="AZ79" s="1595"/>
      <c r="BA79" s="1595"/>
      <c r="BB79" s="1595"/>
      <c r="BC79" s="1595"/>
      <c r="BD79" s="1595"/>
      <c r="BE79" s="1595"/>
      <c r="BF79" s="1595"/>
      <c r="BG79" s="1595"/>
      <c r="BH79" s="1595"/>
      <c r="BI79" s="1595"/>
      <c r="BJ79" s="1595"/>
      <c r="BK79" s="1595"/>
      <c r="BL79" s="1595"/>
      <c r="BM79" s="1595"/>
      <c r="BN79" s="1595"/>
      <c r="BO79" s="1595"/>
      <c r="BP79" s="1595"/>
      <c r="BQ79" s="1595"/>
      <c r="BR79" s="1595"/>
      <c r="BS79" s="1595"/>
      <c r="BT79" s="1595"/>
      <c r="BU79" s="1595"/>
      <c r="BV79" s="1595"/>
      <c r="BW79" s="1595"/>
      <c r="BX79" s="1595"/>
      <c r="BY79" s="1595"/>
      <c r="BZ79" s="1595"/>
      <c r="CA79" s="1595"/>
      <c r="CB79" s="1595"/>
      <c r="CC79" s="1595"/>
      <c r="CD79" s="1595"/>
      <c r="CE79" s="1595"/>
      <c r="CF79" s="1595"/>
      <c r="CG79" s="1595"/>
      <c r="CH79" s="1595"/>
      <c r="CI79" s="1595"/>
      <c r="CJ79" s="1595"/>
      <c r="CK79" s="1595"/>
      <c r="CL79" s="1595"/>
      <c r="CM79" s="1595"/>
      <c r="CN79" s="1595"/>
      <c r="CO79" s="1595"/>
      <c r="CP79" s="1595"/>
      <c r="CQ79" s="1595"/>
      <c r="CR79" s="1595"/>
      <c r="CS79" s="1595"/>
      <c r="CT79" s="1595"/>
      <c r="CU79" s="1595"/>
      <c r="CV79" s="1595"/>
      <c r="CW79" s="1595"/>
      <c r="CX79" s="1595"/>
      <c r="CY79" s="1595"/>
      <c r="CZ79" s="1595"/>
    </row>
    <row r="80" spans="1:104" s="639" customFormat="1">
      <c r="A80" s="1599"/>
      <c r="B80" s="1587" t="s">
        <v>1255</v>
      </c>
      <c r="C80" s="1587"/>
      <c r="D80" s="331">
        <f>-'TRAIL BALANCE'!F437</f>
        <v>0</v>
      </c>
      <c r="E80" s="1587"/>
      <c r="F80" s="331">
        <f>-'TRAIL BALANCE'!E437</f>
        <v>0</v>
      </c>
      <c r="G80" s="1595"/>
      <c r="H80" s="241"/>
      <c r="I80" s="1595"/>
      <c r="J80" s="1595"/>
      <c r="K80" s="1595"/>
      <c r="L80" s="1595"/>
      <c r="M80" s="1595"/>
      <c r="N80" s="1595"/>
      <c r="O80" s="1595"/>
      <c r="P80" s="1595"/>
      <c r="Q80" s="555" t="e">
        <f>-'TRAIL BALANCE'!#REF!</f>
        <v>#REF!</v>
      </c>
      <c r="R80" s="1595"/>
      <c r="S80" s="1595"/>
      <c r="T80" s="1595"/>
      <c r="U80" s="642"/>
      <c r="V80" s="638"/>
      <c r="W80" s="325"/>
      <c r="X80" s="325"/>
      <c r="Y80" s="325"/>
      <c r="Z80" s="325"/>
      <c r="AA80" s="1595"/>
      <c r="AB80" s="1595"/>
      <c r="AC80" s="325"/>
      <c r="AD80" s="1595"/>
      <c r="AE80" s="1595"/>
      <c r="AF80" s="1595"/>
      <c r="AG80" s="1595"/>
      <c r="AH80" s="1595"/>
      <c r="AI80" s="1595"/>
      <c r="AJ80" s="1595"/>
      <c r="AK80" s="1595"/>
      <c r="AL80" s="1595"/>
      <c r="AM80" s="1595"/>
      <c r="AN80" s="1595"/>
      <c r="AO80" s="1595"/>
      <c r="AP80" s="1595"/>
      <c r="AQ80" s="1595"/>
      <c r="AR80" s="1595"/>
      <c r="AS80" s="1595"/>
      <c r="AT80" s="1595"/>
      <c r="AU80" s="1595"/>
      <c r="AV80" s="1595"/>
      <c r="AW80" s="1595"/>
      <c r="AX80" s="1595"/>
      <c r="AY80" s="1595"/>
      <c r="AZ80" s="1595"/>
      <c r="BA80" s="1595"/>
      <c r="BB80" s="1595"/>
      <c r="BC80" s="1595"/>
      <c r="BD80" s="1595"/>
      <c r="BE80" s="1595"/>
      <c r="BF80" s="1595"/>
      <c r="BG80" s="1595"/>
      <c r="BH80" s="1595"/>
      <c r="BI80" s="1595"/>
      <c r="BJ80" s="1595"/>
      <c r="BK80" s="1595"/>
      <c r="BL80" s="1595"/>
      <c r="BM80" s="1595"/>
      <c r="BN80" s="1595"/>
      <c r="BO80" s="1595"/>
      <c r="BP80" s="1595"/>
      <c r="BQ80" s="1595"/>
      <c r="BR80" s="1595"/>
      <c r="BS80" s="1595"/>
      <c r="BT80" s="1595"/>
      <c r="BU80" s="1595"/>
      <c r="BV80" s="1595"/>
      <c r="BW80" s="1595"/>
      <c r="BX80" s="1595"/>
      <c r="BY80" s="1595"/>
      <c r="BZ80" s="1595"/>
      <c r="CA80" s="1595"/>
      <c r="CB80" s="1595"/>
      <c r="CC80" s="1595"/>
      <c r="CD80" s="1595"/>
      <c r="CE80" s="1595"/>
      <c r="CF80" s="1595"/>
      <c r="CG80" s="1595"/>
      <c r="CH80" s="1595"/>
      <c r="CI80" s="1595"/>
      <c r="CJ80" s="1595"/>
      <c r="CK80" s="1595"/>
      <c r="CL80" s="1595"/>
      <c r="CM80" s="1595"/>
      <c r="CN80" s="1595"/>
      <c r="CO80" s="1595"/>
      <c r="CP80" s="1595"/>
      <c r="CQ80" s="1595"/>
      <c r="CR80" s="1595"/>
      <c r="CS80" s="1595"/>
      <c r="CT80" s="1595"/>
      <c r="CU80" s="1595"/>
      <c r="CV80" s="1595"/>
      <c r="CW80" s="1595"/>
      <c r="CX80" s="1595"/>
      <c r="CY80" s="1595"/>
      <c r="CZ80" s="1595"/>
    </row>
    <row r="81" spans="1:104" s="639" customFormat="1">
      <c r="A81" s="1599"/>
      <c r="B81" s="1587" t="s">
        <v>1256</v>
      </c>
      <c r="C81" s="1587"/>
      <c r="D81" s="327"/>
      <c r="E81" s="1587"/>
      <c r="F81" s="327"/>
      <c r="G81" s="1595"/>
      <c r="H81" s="241"/>
      <c r="I81" s="1595"/>
      <c r="J81" s="1595"/>
      <c r="K81" s="1595"/>
      <c r="L81" s="1595"/>
      <c r="M81" s="1595"/>
      <c r="N81" s="1595"/>
      <c r="O81" s="1595"/>
      <c r="P81" s="1595"/>
      <c r="Q81" s="643"/>
      <c r="R81" s="1595"/>
      <c r="S81" s="1595"/>
      <c r="T81" s="1595"/>
      <c r="U81" s="644">
        <v>0</v>
      </c>
      <c r="V81" s="638"/>
      <c r="W81" s="325"/>
      <c r="X81" s="325" t="s">
        <v>36</v>
      </c>
      <c r="Y81" s="325"/>
      <c r="Z81" s="325"/>
      <c r="AA81" s="1595"/>
      <c r="AB81" s="1595"/>
      <c r="AC81" s="325"/>
      <c r="AD81" s="1595"/>
      <c r="AE81" s="1595"/>
      <c r="AF81" s="1595"/>
      <c r="AG81" s="1595"/>
      <c r="AH81" s="1595"/>
      <c r="AI81" s="1595"/>
      <c r="AJ81" s="1595"/>
      <c r="AK81" s="1595"/>
      <c r="AL81" s="1595"/>
      <c r="AM81" s="1595"/>
      <c r="AN81" s="1595"/>
      <c r="AO81" s="1595"/>
      <c r="AP81" s="1595"/>
      <c r="AQ81" s="1595"/>
      <c r="AR81" s="1595"/>
      <c r="AS81" s="1595"/>
      <c r="AT81" s="1595"/>
      <c r="AU81" s="1595"/>
      <c r="AV81" s="1595"/>
      <c r="AW81" s="1595"/>
      <c r="AX81" s="1595"/>
      <c r="AY81" s="1595"/>
      <c r="AZ81" s="1595"/>
      <c r="BA81" s="1595"/>
      <c r="BB81" s="1595"/>
      <c r="BC81" s="1595"/>
      <c r="BD81" s="1595"/>
      <c r="BE81" s="1595"/>
      <c r="BF81" s="1595"/>
      <c r="BG81" s="1595"/>
      <c r="BH81" s="1595"/>
      <c r="BI81" s="1595"/>
      <c r="BJ81" s="1595"/>
      <c r="BK81" s="1595"/>
      <c r="BL81" s="1595"/>
      <c r="BM81" s="1595"/>
      <c r="BN81" s="1595"/>
      <c r="BO81" s="1595"/>
      <c r="BP81" s="1595"/>
      <c r="BQ81" s="1595"/>
      <c r="BR81" s="1595"/>
      <c r="BS81" s="1595"/>
      <c r="BT81" s="1595"/>
      <c r="BU81" s="1595"/>
      <c r="BV81" s="1595"/>
      <c r="BW81" s="1595"/>
      <c r="BX81" s="1595"/>
      <c r="BY81" s="1595"/>
      <c r="BZ81" s="1595"/>
      <c r="CA81" s="1595"/>
      <c r="CB81" s="1595"/>
      <c r="CC81" s="1595"/>
      <c r="CD81" s="1595"/>
      <c r="CE81" s="1595"/>
      <c r="CF81" s="1595"/>
      <c r="CG81" s="1595"/>
      <c r="CH81" s="1595"/>
      <c r="CI81" s="1595"/>
      <c r="CJ81" s="1595"/>
      <c r="CK81" s="1595"/>
      <c r="CL81" s="1595"/>
      <c r="CM81" s="1595"/>
      <c r="CN81" s="1595"/>
      <c r="CO81" s="1595"/>
      <c r="CP81" s="1595"/>
      <c r="CQ81" s="1595"/>
      <c r="CR81" s="1595"/>
      <c r="CS81" s="1595"/>
      <c r="CT81" s="1595"/>
      <c r="CU81" s="1595"/>
      <c r="CV81" s="1595"/>
      <c r="CW81" s="1595"/>
      <c r="CX81" s="1595"/>
      <c r="CY81" s="1595"/>
      <c r="CZ81" s="1595"/>
    </row>
    <row r="82" spans="1:104">
      <c r="A82" s="1584"/>
      <c r="B82" s="1595"/>
      <c r="C82" s="1595"/>
      <c r="D82" s="325"/>
      <c r="E82" s="1595"/>
      <c r="F82" s="325"/>
      <c r="G82" s="1594"/>
      <c r="Q82" s="317"/>
      <c r="R82" s="1594"/>
      <c r="S82" s="1594"/>
      <c r="T82" s="1594"/>
      <c r="U82" s="621"/>
      <c r="V82" s="499"/>
      <c r="W82" s="317"/>
      <c r="X82" s="317"/>
      <c r="Y82" s="317"/>
      <c r="Z82" s="317"/>
      <c r="AA82" s="1594"/>
      <c r="AB82" s="1594"/>
      <c r="AC82" s="317"/>
      <c r="AD82" s="1594"/>
      <c r="AE82" s="1594"/>
      <c r="AF82" s="1594"/>
      <c r="AG82" s="1594"/>
      <c r="AH82" s="1594"/>
      <c r="AI82" s="1594"/>
      <c r="AJ82" s="1594"/>
      <c r="AK82" s="1594"/>
      <c r="AL82" s="1594"/>
      <c r="AM82" s="1594"/>
      <c r="AN82" s="1594"/>
      <c r="AO82" s="1594"/>
      <c r="AP82" s="1594"/>
      <c r="AQ82" s="1594"/>
      <c r="AR82" s="1594"/>
      <c r="AS82" s="1594"/>
      <c r="AT82" s="1594"/>
      <c r="AU82" s="1594"/>
      <c r="AV82" s="1594"/>
      <c r="AW82" s="1594"/>
      <c r="AX82" s="1594"/>
      <c r="AY82" s="1594"/>
      <c r="AZ82" s="1594"/>
      <c r="BA82" s="1594"/>
      <c r="BB82" s="1594"/>
      <c r="BC82" s="1594"/>
      <c r="BD82" s="1594"/>
      <c r="BE82" s="1594"/>
      <c r="BF82" s="1594"/>
      <c r="BG82" s="1594"/>
      <c r="BH82" s="1594"/>
      <c r="BI82" s="1594"/>
      <c r="BJ82" s="1594"/>
      <c r="BK82" s="1594"/>
      <c r="BL82" s="1594"/>
      <c r="BM82" s="1594"/>
      <c r="BN82" s="1594"/>
      <c r="BO82" s="1594"/>
      <c r="BP82" s="1594"/>
      <c r="BQ82" s="1594"/>
      <c r="BR82" s="1594"/>
      <c r="BS82" s="1594"/>
      <c r="BT82" s="1594"/>
      <c r="BU82" s="1594"/>
      <c r="BV82" s="1594"/>
      <c r="BW82" s="1594"/>
      <c r="BX82" s="1594"/>
      <c r="BY82" s="1594"/>
      <c r="BZ82" s="1594"/>
      <c r="CA82" s="1594"/>
      <c r="CB82" s="1594"/>
      <c r="CC82" s="1594"/>
      <c r="CD82" s="1594"/>
      <c r="CE82" s="1594"/>
      <c r="CF82" s="1594"/>
      <c r="CG82" s="1594"/>
      <c r="CH82" s="1594"/>
      <c r="CI82" s="1594"/>
      <c r="CJ82" s="1594"/>
      <c r="CK82" s="1594"/>
      <c r="CL82" s="1594"/>
      <c r="CM82" s="1594"/>
      <c r="CN82" s="1594"/>
      <c r="CO82" s="1594"/>
      <c r="CP82" s="1594"/>
      <c r="CQ82" s="1594"/>
      <c r="CR82" s="1594"/>
      <c r="CS82" s="1594"/>
      <c r="CT82" s="1594"/>
      <c r="CU82" s="1594"/>
      <c r="CV82" s="1594"/>
      <c r="CW82" s="1594"/>
      <c r="CX82" s="1594"/>
      <c r="CY82" s="1594"/>
      <c r="CZ82" s="1594"/>
    </row>
    <row r="83" spans="1:104" s="141" customFormat="1" ht="13.5" thickBot="1">
      <c r="A83" s="1584"/>
      <c r="B83" s="142" t="s">
        <v>1257</v>
      </c>
      <c r="C83" s="142"/>
      <c r="D83" s="143">
        <f>D75+D66</f>
        <v>36401401</v>
      </c>
      <c r="E83" s="142"/>
      <c r="F83" s="143">
        <f>F75+F66</f>
        <v>31327125.789999999</v>
      </c>
      <c r="G83" s="135"/>
      <c r="H83" s="185"/>
      <c r="I83" s="135"/>
      <c r="J83" s="135"/>
      <c r="K83" s="135"/>
      <c r="L83" s="135"/>
      <c r="M83" s="135"/>
      <c r="N83" s="135"/>
      <c r="O83" s="135"/>
      <c r="P83" s="135"/>
      <c r="Q83" s="136" t="e">
        <f>Q75+Q66</f>
        <v>#REF!</v>
      </c>
      <c r="R83" s="135"/>
      <c r="S83" s="135"/>
      <c r="T83" s="135"/>
      <c r="U83" s="227" t="e">
        <f>U75+U66</f>
        <v>#REF!</v>
      </c>
      <c r="V83" s="223"/>
      <c r="W83" s="136"/>
      <c r="X83" s="136"/>
      <c r="Y83" s="136"/>
      <c r="Z83" s="136"/>
      <c r="AA83" s="135"/>
      <c r="AB83" s="135"/>
      <c r="AC83" s="136"/>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row>
    <row r="84" spans="1:104" ht="13.5" thickTop="1">
      <c r="A84" s="1584"/>
      <c r="B84" s="142"/>
      <c r="C84" s="142"/>
      <c r="D84" s="144"/>
      <c r="E84" s="142"/>
      <c r="F84" s="144"/>
      <c r="G84" s="1594"/>
      <c r="Q84" s="317"/>
      <c r="R84" s="1594"/>
      <c r="S84" s="1594"/>
      <c r="T84" s="1594"/>
      <c r="U84" s="621"/>
      <c r="V84" s="499"/>
      <c r="W84" s="317"/>
      <c r="X84" s="317"/>
      <c r="Y84" s="317"/>
      <c r="Z84" s="317"/>
      <c r="AA84" s="1594"/>
      <c r="AB84" s="1594"/>
      <c r="AC84" s="317"/>
      <c r="AD84" s="1594"/>
      <c r="AE84" s="1594"/>
      <c r="AF84" s="1594"/>
      <c r="AG84" s="1594"/>
      <c r="AH84" s="1594"/>
      <c r="AI84" s="1594"/>
      <c r="AJ84" s="1594"/>
      <c r="AK84" s="1594"/>
      <c r="AL84" s="1594"/>
      <c r="AM84" s="1594"/>
      <c r="AN84" s="1594"/>
      <c r="AO84" s="1594"/>
      <c r="AP84" s="1594"/>
      <c r="AQ84" s="1594"/>
      <c r="AR84" s="1594"/>
      <c r="AS84" s="1594"/>
      <c r="AT84" s="1594"/>
      <c r="AU84" s="1594"/>
      <c r="AV84" s="1594"/>
      <c r="AW84" s="1594"/>
      <c r="AX84" s="1594"/>
      <c r="AY84" s="1594"/>
      <c r="AZ84" s="1594"/>
      <c r="BA84" s="1594"/>
      <c r="BB84" s="1594"/>
      <c r="BC84" s="1594"/>
      <c r="BD84" s="1594"/>
      <c r="BE84" s="1594"/>
      <c r="BF84" s="1594"/>
      <c r="BG84" s="1594"/>
      <c r="BH84" s="1594"/>
      <c r="BI84" s="1594"/>
      <c r="BJ84" s="1594"/>
      <c r="BK84" s="1594"/>
      <c r="BL84" s="1594"/>
      <c r="BM84" s="1594"/>
      <c r="BN84" s="1594"/>
      <c r="BO84" s="1594"/>
      <c r="BP84" s="1594"/>
      <c r="BQ84" s="1594"/>
      <c r="BR84" s="1594"/>
      <c r="BS84" s="1594"/>
      <c r="BT84" s="1594"/>
      <c r="BU84" s="1594"/>
      <c r="BV84" s="1594"/>
      <c r="BW84" s="1594"/>
      <c r="BX84" s="1594"/>
      <c r="BY84" s="1594"/>
      <c r="BZ84" s="1594"/>
      <c r="CA84" s="1594"/>
      <c r="CB84" s="1594"/>
      <c r="CC84" s="1594"/>
      <c r="CD84" s="1594"/>
      <c r="CE84" s="1594"/>
      <c r="CF84" s="1594"/>
      <c r="CG84" s="1594"/>
      <c r="CH84" s="1594"/>
      <c r="CI84" s="1594"/>
      <c r="CJ84" s="1594"/>
      <c r="CK84" s="1594"/>
      <c r="CL84" s="1594"/>
      <c r="CM84" s="1594"/>
      <c r="CN84" s="1594"/>
      <c r="CO84" s="1594"/>
      <c r="CP84" s="1594"/>
      <c r="CQ84" s="1594"/>
      <c r="CR84" s="1594"/>
      <c r="CS84" s="1594"/>
      <c r="CT84" s="1594"/>
      <c r="CU84" s="1594"/>
      <c r="CV84" s="1594"/>
      <c r="CW84" s="1594"/>
      <c r="CX84" s="1594"/>
      <c r="CY84" s="1594"/>
      <c r="CZ84" s="1594"/>
    </row>
    <row r="85" spans="1:104">
      <c r="A85" s="1584"/>
      <c r="B85" s="1587"/>
      <c r="C85" s="142"/>
      <c r="D85" s="144"/>
      <c r="E85" s="142"/>
      <c r="F85" s="144"/>
      <c r="G85" s="1594"/>
      <c r="Q85" s="317"/>
      <c r="R85" s="1594"/>
      <c r="S85" s="1594"/>
      <c r="T85" s="1594"/>
      <c r="U85" s="621"/>
      <c r="V85" s="499"/>
      <c r="W85" s="317"/>
      <c r="X85" s="317"/>
      <c r="Y85" s="317"/>
      <c r="Z85" s="317"/>
      <c r="AA85" s="1594"/>
      <c r="AB85" s="1594"/>
      <c r="AC85" s="317"/>
      <c r="AD85" s="1594"/>
      <c r="AE85" s="1594"/>
      <c r="AF85" s="1594"/>
      <c r="AG85" s="1594"/>
      <c r="AH85" s="1594"/>
      <c r="AI85" s="1594"/>
      <c r="AJ85" s="1594"/>
      <c r="AK85" s="1594"/>
      <c r="AL85" s="1594"/>
      <c r="AM85" s="1594"/>
      <c r="AN85" s="1594"/>
      <c r="AO85" s="1594"/>
      <c r="AP85" s="1594"/>
      <c r="AQ85" s="1594"/>
      <c r="AR85" s="1594"/>
      <c r="AS85" s="1594"/>
      <c r="AT85" s="1594"/>
      <c r="AU85" s="1594"/>
      <c r="AV85" s="1594"/>
      <c r="AW85" s="1594"/>
      <c r="AX85" s="1594"/>
      <c r="AY85" s="1594"/>
      <c r="AZ85" s="1594"/>
      <c r="BA85" s="1594"/>
      <c r="BB85" s="1594"/>
      <c r="BC85" s="1594"/>
      <c r="BD85" s="1594"/>
      <c r="BE85" s="1594"/>
      <c r="BF85" s="1594"/>
      <c r="BG85" s="1594"/>
      <c r="BH85" s="1594"/>
      <c r="BI85" s="1594"/>
      <c r="BJ85" s="1594"/>
      <c r="BK85" s="1594"/>
      <c r="BL85" s="1594"/>
      <c r="BM85" s="1594"/>
      <c r="BN85" s="1594"/>
      <c r="BO85" s="1594"/>
      <c r="BP85" s="1594"/>
      <c r="BQ85" s="1594"/>
      <c r="BR85" s="1594"/>
      <c r="BS85" s="1594"/>
      <c r="BT85" s="1594"/>
      <c r="BU85" s="1594"/>
      <c r="BV85" s="1594"/>
      <c r="BW85" s="1594"/>
      <c r="BX85" s="1594"/>
      <c r="BY85" s="1594"/>
      <c r="BZ85" s="1594"/>
      <c r="CA85" s="1594"/>
      <c r="CB85" s="1594"/>
      <c r="CC85" s="1594"/>
      <c r="CD85" s="1594"/>
      <c r="CE85" s="1594"/>
      <c r="CF85" s="1594"/>
      <c r="CG85" s="1594"/>
      <c r="CH85" s="1594"/>
      <c r="CI85" s="1594"/>
      <c r="CJ85" s="1594"/>
      <c r="CK85" s="1594"/>
      <c r="CL85" s="1594"/>
      <c r="CM85" s="1594"/>
      <c r="CN85" s="1594"/>
      <c r="CO85" s="1594"/>
      <c r="CP85" s="1594"/>
      <c r="CQ85" s="1594"/>
      <c r="CR85" s="1594"/>
      <c r="CS85" s="1594"/>
      <c r="CT85" s="1594"/>
      <c r="CU85" s="1594"/>
      <c r="CV85" s="1594"/>
      <c r="CW85" s="1594"/>
      <c r="CX85" s="1594"/>
      <c r="CY85" s="1594"/>
      <c r="CZ85" s="1594"/>
    </row>
    <row r="86" spans="1:104">
      <c r="A86" s="1584">
        <v>21.3</v>
      </c>
      <c r="B86" s="1591" t="s">
        <v>1258</v>
      </c>
      <c r="C86" s="1591"/>
      <c r="D86" s="146"/>
      <c r="E86" s="1591"/>
      <c r="F86" s="146"/>
      <c r="G86" s="1594"/>
      <c r="Q86" s="317"/>
      <c r="R86" s="1594"/>
      <c r="S86" s="1594"/>
      <c r="T86" s="1594"/>
      <c r="U86" s="621"/>
      <c r="V86" s="499"/>
      <c r="W86" s="317"/>
      <c r="X86" s="317"/>
      <c r="Y86" s="317"/>
      <c r="Z86" s="317"/>
      <c r="AA86" s="1594"/>
      <c r="AB86" s="1594"/>
      <c r="AC86" s="317"/>
      <c r="AD86" s="1594"/>
      <c r="AE86" s="1594"/>
      <c r="AF86" s="1594"/>
      <c r="AG86" s="1594"/>
      <c r="AH86" s="1594"/>
      <c r="AI86" s="1594"/>
      <c r="AJ86" s="1594"/>
      <c r="AK86" s="1594"/>
      <c r="AL86" s="1594"/>
      <c r="AM86" s="1594"/>
      <c r="AN86" s="1594"/>
      <c r="AO86" s="1594"/>
      <c r="AP86" s="1594"/>
      <c r="AQ86" s="1594"/>
      <c r="AR86" s="1594"/>
      <c r="AS86" s="1594"/>
      <c r="AT86" s="1594"/>
      <c r="AU86" s="1594"/>
      <c r="AV86" s="1594"/>
      <c r="AW86" s="1594"/>
      <c r="AX86" s="1594"/>
      <c r="AY86" s="1594"/>
      <c r="AZ86" s="1594"/>
      <c r="BA86" s="1594"/>
      <c r="BB86" s="1594"/>
      <c r="BC86" s="1594"/>
      <c r="BD86" s="1594"/>
      <c r="BE86" s="1594"/>
      <c r="BF86" s="1594"/>
      <c r="BG86" s="1594"/>
      <c r="BH86" s="1594"/>
      <c r="BI86" s="1594"/>
      <c r="BJ86" s="1594"/>
      <c r="BK86" s="1594"/>
      <c r="BL86" s="1594"/>
      <c r="BM86" s="1594"/>
      <c r="BN86" s="1594"/>
      <c r="BO86" s="1594"/>
      <c r="BP86" s="1594"/>
      <c r="BQ86" s="1594"/>
      <c r="BR86" s="1594"/>
      <c r="BS86" s="1594"/>
      <c r="BT86" s="1594"/>
      <c r="BU86" s="1594"/>
      <c r="BV86" s="1594"/>
      <c r="BW86" s="1594"/>
      <c r="BX86" s="1594"/>
      <c r="BY86" s="1594"/>
      <c r="BZ86" s="1594"/>
      <c r="CA86" s="1594"/>
      <c r="CB86" s="1594"/>
      <c r="CC86" s="1594"/>
      <c r="CD86" s="1594"/>
      <c r="CE86" s="1594"/>
      <c r="CF86" s="1594"/>
      <c r="CG86" s="1594"/>
      <c r="CH86" s="1594"/>
      <c r="CI86" s="1594"/>
      <c r="CJ86" s="1594"/>
      <c r="CK86" s="1594"/>
      <c r="CL86" s="1594"/>
      <c r="CM86" s="1594"/>
      <c r="CN86" s="1594"/>
      <c r="CO86" s="1594"/>
      <c r="CP86" s="1594"/>
      <c r="CQ86" s="1594"/>
      <c r="CR86" s="1594"/>
      <c r="CS86" s="1594"/>
      <c r="CT86" s="1594"/>
      <c r="CU86" s="1594"/>
      <c r="CV86" s="1594"/>
      <c r="CW86" s="1594"/>
      <c r="CX86" s="1594"/>
      <c r="CY86" s="1594"/>
      <c r="CZ86" s="1594"/>
    </row>
    <row r="87" spans="1:104" s="647" customFormat="1" ht="51">
      <c r="A87" s="281"/>
      <c r="B87" s="639" t="s">
        <v>2757</v>
      </c>
      <c r="C87" s="211"/>
      <c r="D87" s="328"/>
      <c r="E87" s="211"/>
      <c r="F87" s="328"/>
      <c r="G87" s="211"/>
      <c r="H87" s="329"/>
      <c r="I87" s="211"/>
      <c r="J87" s="1147"/>
      <c r="K87" s="211"/>
      <c r="L87" s="211"/>
      <c r="M87" s="211"/>
      <c r="N87" s="211"/>
      <c r="O87" s="211"/>
      <c r="P87" s="211"/>
      <c r="Q87" s="328"/>
      <c r="R87" s="211"/>
      <c r="S87" s="211"/>
      <c r="T87" s="211"/>
      <c r="U87" s="645"/>
      <c r="V87" s="646"/>
      <c r="W87" s="328"/>
      <c r="X87" s="328"/>
      <c r="Y87" s="328"/>
      <c r="Z87" s="328"/>
      <c r="AA87" s="211"/>
      <c r="AB87" s="211"/>
      <c r="AC87" s="328"/>
      <c r="AD87" s="211"/>
      <c r="AE87" s="211"/>
      <c r="AF87" s="211"/>
      <c r="AG87" s="211"/>
      <c r="AH87" s="211"/>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c r="BI87" s="211"/>
      <c r="BJ87" s="211"/>
      <c r="BK87" s="211"/>
      <c r="BL87" s="211"/>
      <c r="BM87" s="211"/>
      <c r="BN87" s="211"/>
      <c r="BO87" s="211"/>
      <c r="BP87" s="211"/>
      <c r="BQ87" s="211"/>
      <c r="BR87" s="211"/>
      <c r="BS87" s="211"/>
      <c r="BT87" s="211"/>
      <c r="BU87" s="211"/>
      <c r="BV87" s="211"/>
      <c r="BW87" s="211"/>
      <c r="BX87" s="211"/>
      <c r="BY87" s="211"/>
      <c r="BZ87" s="211"/>
      <c r="CA87" s="211"/>
      <c r="CB87" s="211"/>
      <c r="CC87" s="211"/>
      <c r="CD87" s="211"/>
      <c r="CE87" s="211"/>
      <c r="CF87" s="211"/>
      <c r="CG87" s="211"/>
      <c r="CH87" s="211"/>
      <c r="CI87" s="211"/>
      <c r="CJ87" s="211"/>
      <c r="CK87" s="211"/>
      <c r="CL87" s="211"/>
      <c r="CM87" s="211"/>
      <c r="CN87" s="211"/>
      <c r="CO87" s="211"/>
      <c r="CP87" s="211"/>
      <c r="CQ87" s="211"/>
      <c r="CR87" s="211"/>
      <c r="CS87" s="211"/>
      <c r="CT87" s="211"/>
      <c r="CU87" s="211"/>
      <c r="CV87" s="211"/>
      <c r="CW87" s="211"/>
      <c r="CX87" s="211"/>
      <c r="CY87" s="211"/>
      <c r="CZ87" s="211"/>
    </row>
    <row r="88" spans="1:104">
      <c r="A88" s="1584"/>
      <c r="B88" s="1594"/>
      <c r="C88" s="1594"/>
      <c r="D88" s="317"/>
      <c r="E88" s="1594"/>
      <c r="F88" s="317"/>
      <c r="G88" s="1594"/>
      <c r="Q88" s="317"/>
      <c r="R88" s="1594"/>
      <c r="S88" s="1594"/>
      <c r="T88" s="1594"/>
      <c r="U88" s="621"/>
      <c r="V88" s="499"/>
      <c r="W88" s="317"/>
      <c r="X88" s="317"/>
      <c r="Y88" s="317"/>
      <c r="Z88" s="317"/>
      <c r="AA88" s="1594"/>
      <c r="AB88" s="1594"/>
      <c r="AC88" s="317"/>
      <c r="AD88" s="1594"/>
      <c r="AE88" s="1594"/>
      <c r="AF88" s="1594"/>
      <c r="AG88" s="1594"/>
      <c r="AH88" s="1594"/>
      <c r="AI88" s="1594"/>
      <c r="AJ88" s="1594"/>
      <c r="AK88" s="1594"/>
      <c r="AL88" s="1594"/>
      <c r="AM88" s="1594"/>
      <c r="AN88" s="1594"/>
      <c r="AO88" s="1594"/>
      <c r="AP88" s="1594"/>
      <c r="AQ88" s="1594"/>
      <c r="AR88" s="1594"/>
      <c r="AS88" s="1594"/>
      <c r="AT88" s="1594"/>
      <c r="AU88" s="1594"/>
      <c r="AV88" s="1594"/>
      <c r="AW88" s="1594"/>
      <c r="AX88" s="1594"/>
      <c r="AY88" s="1594"/>
      <c r="AZ88" s="1594"/>
      <c r="BA88" s="1594"/>
      <c r="BB88" s="1594"/>
      <c r="BC88" s="1594"/>
      <c r="BD88" s="1594"/>
      <c r="BE88" s="1594"/>
      <c r="BF88" s="1594"/>
      <c r="BG88" s="1594"/>
      <c r="BH88" s="1594"/>
      <c r="BI88" s="1594"/>
      <c r="BJ88" s="1594"/>
      <c r="BK88" s="1594"/>
      <c r="BL88" s="1594"/>
      <c r="BM88" s="1594"/>
      <c r="BN88" s="1594"/>
      <c r="BO88" s="1594"/>
      <c r="BP88" s="1594"/>
      <c r="BQ88" s="1594"/>
      <c r="BR88" s="1594"/>
      <c r="BS88" s="1594"/>
      <c r="BT88" s="1594"/>
      <c r="BU88" s="1594"/>
      <c r="BV88" s="1594"/>
      <c r="BW88" s="1594"/>
      <c r="BX88" s="1594"/>
      <c r="BY88" s="1594"/>
      <c r="BZ88" s="1594"/>
      <c r="CA88" s="1594"/>
      <c r="CB88" s="1594"/>
      <c r="CC88" s="1594"/>
      <c r="CD88" s="1594"/>
      <c r="CE88" s="1594"/>
      <c r="CF88" s="1594"/>
      <c r="CG88" s="1594"/>
      <c r="CH88" s="1594"/>
      <c r="CI88" s="1594"/>
      <c r="CJ88" s="1594"/>
      <c r="CK88" s="1594"/>
      <c r="CL88" s="1594"/>
      <c r="CM88" s="1594"/>
      <c r="CN88" s="1594"/>
      <c r="CO88" s="1594"/>
      <c r="CP88" s="1594"/>
      <c r="CQ88" s="1594"/>
      <c r="CR88" s="1594"/>
      <c r="CS88" s="1594"/>
      <c r="CT88" s="1594"/>
      <c r="CU88" s="1594"/>
      <c r="CV88" s="1594"/>
      <c r="CW88" s="1594"/>
      <c r="CX88" s="1594"/>
      <c r="CY88" s="1594"/>
      <c r="CZ88" s="1594"/>
    </row>
    <row r="89" spans="1:104">
      <c r="A89" s="1584">
        <v>21.4</v>
      </c>
      <c r="B89" s="1591" t="s">
        <v>1261</v>
      </c>
      <c r="C89" s="1591"/>
      <c r="D89" s="146"/>
      <c r="E89" s="1591"/>
      <c r="F89" s="146"/>
      <c r="G89" s="1594"/>
      <c r="Q89" s="317"/>
      <c r="R89" s="1594"/>
      <c r="S89" s="1594"/>
      <c r="T89" s="1594"/>
      <c r="U89" s="621"/>
      <c r="V89" s="499"/>
      <c r="W89" s="317"/>
      <c r="X89" s="317"/>
      <c r="Y89" s="317"/>
      <c r="Z89" s="317"/>
      <c r="AA89" s="1594"/>
      <c r="AB89" s="1594"/>
      <c r="AC89" s="317"/>
      <c r="AD89" s="1594"/>
      <c r="AE89" s="1594"/>
      <c r="AF89" s="1594"/>
      <c r="AG89" s="1594"/>
      <c r="AH89" s="1594"/>
      <c r="AI89" s="1594"/>
      <c r="AJ89" s="1594"/>
      <c r="AK89" s="1594"/>
      <c r="AL89" s="1594"/>
      <c r="AM89" s="1594"/>
      <c r="AN89" s="1594"/>
      <c r="AO89" s="1594"/>
      <c r="AP89" s="1594"/>
      <c r="AQ89" s="1594"/>
      <c r="AR89" s="1594"/>
      <c r="AS89" s="1594"/>
      <c r="AT89" s="1594"/>
      <c r="AU89" s="1594"/>
      <c r="AV89" s="1594"/>
      <c r="AW89" s="1594"/>
      <c r="AX89" s="1594"/>
      <c r="AY89" s="1594"/>
      <c r="AZ89" s="1594"/>
      <c r="BA89" s="1594"/>
      <c r="BB89" s="1594"/>
      <c r="BC89" s="1594"/>
      <c r="BD89" s="1594"/>
      <c r="BE89" s="1594"/>
      <c r="BF89" s="1594"/>
      <c r="BG89" s="1594"/>
      <c r="BH89" s="1594"/>
      <c r="BI89" s="1594"/>
      <c r="BJ89" s="1594"/>
      <c r="BK89" s="1594"/>
      <c r="BL89" s="1594"/>
      <c r="BM89" s="1594"/>
      <c r="BN89" s="1594"/>
      <c r="BO89" s="1594"/>
      <c r="BP89" s="1594"/>
      <c r="BQ89" s="1594"/>
      <c r="BR89" s="1594"/>
      <c r="BS89" s="1594"/>
      <c r="BT89" s="1594"/>
      <c r="BU89" s="1594"/>
      <c r="BV89" s="1594"/>
      <c r="BW89" s="1594"/>
      <c r="BX89" s="1594"/>
      <c r="BY89" s="1594"/>
      <c r="BZ89" s="1594"/>
      <c r="CA89" s="1594"/>
      <c r="CB89" s="1594"/>
      <c r="CC89" s="1594"/>
      <c r="CD89" s="1594"/>
      <c r="CE89" s="1594"/>
      <c r="CF89" s="1594"/>
      <c r="CG89" s="1594"/>
      <c r="CH89" s="1594"/>
      <c r="CI89" s="1594"/>
      <c r="CJ89" s="1594"/>
      <c r="CK89" s="1594"/>
      <c r="CL89" s="1594"/>
      <c r="CM89" s="1594"/>
      <c r="CN89" s="1594"/>
      <c r="CO89" s="1594"/>
      <c r="CP89" s="1594"/>
      <c r="CQ89" s="1594"/>
      <c r="CR89" s="1594"/>
      <c r="CS89" s="1594"/>
      <c r="CT89" s="1594"/>
      <c r="CU89" s="1594"/>
      <c r="CV89" s="1594"/>
      <c r="CW89" s="1594"/>
      <c r="CX89" s="1594"/>
      <c r="CY89" s="1594"/>
      <c r="CZ89" s="1594"/>
    </row>
    <row r="90" spans="1:104">
      <c r="A90" s="1584"/>
      <c r="B90" s="1595" t="s">
        <v>1262</v>
      </c>
      <c r="C90" s="1595"/>
      <c r="D90" s="325"/>
      <c r="E90" s="1595"/>
      <c r="F90" s="317"/>
      <c r="G90" s="1594"/>
      <c r="Q90" s="317">
        <v>0</v>
      </c>
      <c r="R90" s="1594"/>
      <c r="S90" s="1594"/>
      <c r="T90" s="1594"/>
      <c r="U90" s="621">
        <v>0</v>
      </c>
      <c r="V90" s="499"/>
      <c r="W90" s="317"/>
      <c r="X90" s="317"/>
      <c r="Y90" s="317"/>
      <c r="Z90" s="317"/>
      <c r="AA90" s="1594"/>
      <c r="AB90" s="1594"/>
      <c r="AC90" s="317"/>
      <c r="AD90" s="1594"/>
      <c r="AE90" s="1594"/>
      <c r="AF90" s="1594"/>
      <c r="AG90" s="1594"/>
      <c r="AH90" s="1594"/>
      <c r="AI90" s="1594"/>
      <c r="AJ90" s="1594"/>
      <c r="AK90" s="1594"/>
      <c r="AL90" s="1594"/>
      <c r="AM90" s="1594"/>
      <c r="AN90" s="1594"/>
      <c r="AO90" s="1594"/>
      <c r="AP90" s="1594"/>
      <c r="AQ90" s="1594"/>
      <c r="AR90" s="1594"/>
      <c r="AS90" s="1594"/>
      <c r="AT90" s="1594"/>
      <c r="AU90" s="1594"/>
      <c r="AV90" s="1594"/>
      <c r="AW90" s="1594"/>
      <c r="AX90" s="1594"/>
      <c r="AY90" s="1594"/>
      <c r="AZ90" s="1594"/>
      <c r="BA90" s="1594"/>
      <c r="BB90" s="1594"/>
      <c r="BC90" s="1594"/>
      <c r="BD90" s="1594"/>
      <c r="BE90" s="1594"/>
      <c r="BF90" s="1594"/>
      <c r="BG90" s="1594"/>
      <c r="BH90" s="1594"/>
      <c r="BI90" s="1594"/>
      <c r="BJ90" s="1594"/>
      <c r="BK90" s="1594"/>
      <c r="BL90" s="1594"/>
      <c r="BM90" s="1594"/>
      <c r="BN90" s="1594"/>
      <c r="BO90" s="1594"/>
      <c r="BP90" s="1594"/>
      <c r="BQ90" s="1594"/>
      <c r="BR90" s="1594"/>
      <c r="BS90" s="1594"/>
      <c r="BT90" s="1594"/>
      <c r="BU90" s="1594"/>
      <c r="BV90" s="1594"/>
      <c r="BW90" s="1594"/>
      <c r="BX90" s="1594"/>
      <c r="BY90" s="1594"/>
      <c r="BZ90" s="1594"/>
      <c r="CA90" s="1594"/>
      <c r="CB90" s="1594"/>
      <c r="CC90" s="1594"/>
      <c r="CD90" s="1594"/>
      <c r="CE90" s="1594"/>
      <c r="CF90" s="1594"/>
      <c r="CG90" s="1594"/>
      <c r="CH90" s="1594"/>
      <c r="CI90" s="1594"/>
      <c r="CJ90" s="1594"/>
      <c r="CK90" s="1594"/>
      <c r="CL90" s="1594"/>
      <c r="CM90" s="1594"/>
      <c r="CN90" s="1594"/>
      <c r="CO90" s="1594"/>
      <c r="CP90" s="1594"/>
      <c r="CQ90" s="1594"/>
      <c r="CR90" s="1594"/>
      <c r="CS90" s="1594"/>
      <c r="CT90" s="1594"/>
      <c r="CU90" s="1594"/>
      <c r="CV90" s="1594"/>
      <c r="CW90" s="1594"/>
      <c r="CX90" s="1594"/>
      <c r="CY90" s="1594"/>
      <c r="CZ90" s="1594"/>
    </row>
    <row r="91" spans="1:104">
      <c r="A91" s="1584"/>
      <c r="B91" s="1595" t="s">
        <v>1259</v>
      </c>
      <c r="C91" s="1595"/>
      <c r="D91" s="319">
        <f>-'TRAIL BALANCE'!F187</f>
        <v>3000000</v>
      </c>
      <c r="E91" s="1595"/>
      <c r="F91" s="319">
        <f>-'TRAIL BALANCE'!E187</f>
        <v>2750000</v>
      </c>
      <c r="G91" s="1594"/>
      <c r="Q91" s="624" t="e">
        <f>SUM(Q70)</f>
        <v>#REF!</v>
      </c>
      <c r="R91" s="1594"/>
      <c r="S91" s="1594"/>
      <c r="T91" s="1594"/>
      <c r="U91" s="641" t="e">
        <f>-SUM('TRAIL BALANCE'!#REF!)</f>
        <v>#REF!</v>
      </c>
      <c r="V91" s="499"/>
      <c r="W91" s="317"/>
      <c r="X91" s="317"/>
      <c r="Y91" s="317"/>
      <c r="Z91" s="317"/>
      <c r="AA91" s="1594"/>
      <c r="AB91" s="1594"/>
      <c r="AC91" s="317"/>
      <c r="AD91" s="1594"/>
      <c r="AE91" s="1594"/>
      <c r="AF91" s="1594"/>
      <c r="AG91" s="1594"/>
      <c r="AH91" s="1594"/>
      <c r="AI91" s="1594"/>
      <c r="AJ91" s="1594"/>
      <c r="AK91" s="1594"/>
      <c r="AL91" s="1594"/>
      <c r="AM91" s="1594"/>
      <c r="AN91" s="1594"/>
      <c r="AO91" s="1594"/>
      <c r="AP91" s="1594"/>
      <c r="AQ91" s="1594"/>
      <c r="AR91" s="1594"/>
      <c r="AS91" s="1594"/>
      <c r="AT91" s="1594"/>
      <c r="AU91" s="1594"/>
      <c r="AV91" s="1594"/>
      <c r="AW91" s="1594"/>
      <c r="AX91" s="1594"/>
      <c r="AY91" s="1594"/>
      <c r="AZ91" s="1594"/>
      <c r="BA91" s="1594"/>
      <c r="BB91" s="1594"/>
      <c r="BC91" s="1594"/>
      <c r="BD91" s="1594"/>
      <c r="BE91" s="1594"/>
      <c r="BF91" s="1594"/>
      <c r="BG91" s="1594"/>
      <c r="BH91" s="1594"/>
      <c r="BI91" s="1594"/>
      <c r="BJ91" s="1594"/>
      <c r="BK91" s="1594"/>
      <c r="BL91" s="1594"/>
      <c r="BM91" s="1594"/>
      <c r="BN91" s="1594"/>
      <c r="BO91" s="1594"/>
      <c r="BP91" s="1594"/>
      <c r="BQ91" s="1594"/>
      <c r="BR91" s="1594"/>
      <c r="BS91" s="1594"/>
      <c r="BT91" s="1594"/>
      <c r="BU91" s="1594"/>
      <c r="BV91" s="1594"/>
      <c r="BW91" s="1594"/>
      <c r="BX91" s="1594"/>
      <c r="BY91" s="1594"/>
      <c r="BZ91" s="1594"/>
      <c r="CA91" s="1594"/>
      <c r="CB91" s="1594"/>
      <c r="CC91" s="1594"/>
      <c r="CD91" s="1594"/>
      <c r="CE91" s="1594"/>
      <c r="CF91" s="1594"/>
      <c r="CG91" s="1594"/>
      <c r="CH91" s="1594"/>
      <c r="CI91" s="1594"/>
      <c r="CJ91" s="1594"/>
      <c r="CK91" s="1594"/>
      <c r="CL91" s="1594"/>
      <c r="CM91" s="1594"/>
      <c r="CN91" s="1594"/>
      <c r="CO91" s="1594"/>
      <c r="CP91" s="1594"/>
      <c r="CQ91" s="1594"/>
      <c r="CR91" s="1594"/>
      <c r="CS91" s="1594"/>
      <c r="CT91" s="1594"/>
      <c r="CU91" s="1594"/>
      <c r="CV91" s="1594"/>
      <c r="CW91" s="1594"/>
      <c r="CX91" s="1594"/>
      <c r="CY91" s="1594"/>
      <c r="CZ91" s="1594"/>
    </row>
    <row r="92" spans="1:104">
      <c r="A92" s="1584"/>
      <c r="B92" s="1595" t="s">
        <v>1260</v>
      </c>
      <c r="C92" s="1595"/>
      <c r="D92" s="327">
        <v>-3000000</v>
      </c>
      <c r="E92" s="1595"/>
      <c r="F92" s="327">
        <v>-2750000</v>
      </c>
      <c r="G92" s="1594"/>
      <c r="Q92" s="643">
        <v>-1250000</v>
      </c>
      <c r="R92" s="1594"/>
      <c r="S92" s="1594"/>
      <c r="T92" s="1594"/>
      <c r="U92" s="644" t="e">
        <f>SUM('TRAIL BALANCE'!#REF!)</f>
        <v>#REF!</v>
      </c>
      <c r="V92" s="499"/>
      <c r="W92" s="316" t="s">
        <v>36</v>
      </c>
      <c r="X92" s="317"/>
      <c r="Y92" s="317"/>
      <c r="Z92" s="317"/>
      <c r="AA92" s="1594"/>
      <c r="AB92" s="1594"/>
      <c r="AC92" s="317"/>
      <c r="AD92" s="1594"/>
      <c r="AE92" s="1594"/>
      <c r="AF92" s="1594"/>
      <c r="AG92" s="1594"/>
      <c r="AH92" s="1594"/>
      <c r="AI92" s="1594"/>
      <c r="AJ92" s="1594"/>
      <c r="AK92" s="1594"/>
      <c r="AL92" s="1594"/>
      <c r="AM92" s="1594"/>
      <c r="AN92" s="1594"/>
      <c r="AO92" s="1594"/>
      <c r="AP92" s="1594"/>
      <c r="AQ92" s="1594"/>
      <c r="AR92" s="1594"/>
      <c r="AS92" s="1594"/>
      <c r="AT92" s="1594"/>
      <c r="AU92" s="1594"/>
      <c r="AV92" s="1594"/>
      <c r="AW92" s="1594"/>
      <c r="AX92" s="1594"/>
      <c r="AY92" s="1594"/>
      <c r="AZ92" s="1594"/>
      <c r="BA92" s="1594"/>
      <c r="BB92" s="1594"/>
      <c r="BC92" s="1594"/>
      <c r="BD92" s="1594"/>
      <c r="BE92" s="1594"/>
      <c r="BF92" s="1594"/>
      <c r="BG92" s="1594"/>
      <c r="BH92" s="1594"/>
      <c r="BI92" s="1594"/>
      <c r="BJ92" s="1594"/>
      <c r="BK92" s="1594"/>
      <c r="BL92" s="1594"/>
      <c r="BM92" s="1594"/>
      <c r="BN92" s="1594"/>
      <c r="BO92" s="1594"/>
      <c r="BP92" s="1594"/>
      <c r="BQ92" s="1594"/>
      <c r="BR92" s="1594"/>
      <c r="BS92" s="1594"/>
      <c r="BT92" s="1594"/>
      <c r="BU92" s="1594"/>
      <c r="BV92" s="1594"/>
      <c r="BW92" s="1594"/>
      <c r="BX92" s="1594"/>
      <c r="BY92" s="1594"/>
      <c r="BZ92" s="1594"/>
      <c r="CA92" s="1594"/>
      <c r="CB92" s="1594"/>
      <c r="CC92" s="1594"/>
      <c r="CD92" s="1594"/>
      <c r="CE92" s="1594"/>
      <c r="CF92" s="1594"/>
      <c r="CG92" s="1594"/>
      <c r="CH92" s="1594"/>
      <c r="CI92" s="1594"/>
      <c r="CJ92" s="1594"/>
      <c r="CK92" s="1594"/>
      <c r="CL92" s="1594"/>
      <c r="CM92" s="1594"/>
      <c r="CN92" s="1594"/>
      <c r="CO92" s="1594"/>
      <c r="CP92" s="1594"/>
      <c r="CQ92" s="1594"/>
      <c r="CR92" s="1594"/>
      <c r="CS92" s="1594"/>
      <c r="CT92" s="1594"/>
      <c r="CU92" s="1594"/>
      <c r="CV92" s="1594"/>
      <c r="CW92" s="1594"/>
      <c r="CX92" s="1594"/>
      <c r="CY92" s="1594"/>
      <c r="CZ92" s="1594"/>
    </row>
    <row r="93" spans="1:104">
      <c r="A93" s="1584"/>
      <c r="B93" s="1595"/>
      <c r="C93" s="1595"/>
      <c r="D93" s="325"/>
      <c r="E93" s="1595"/>
      <c r="F93" s="325"/>
      <c r="G93" s="1594"/>
      <c r="Q93" s="325"/>
      <c r="R93" s="1594"/>
      <c r="S93" s="1594"/>
      <c r="T93" s="1594"/>
      <c r="U93" s="527"/>
      <c r="V93" s="499"/>
      <c r="W93" s="316"/>
      <c r="X93" s="317"/>
      <c r="Y93" s="317"/>
      <c r="Z93" s="317"/>
      <c r="AA93" s="1594"/>
      <c r="AB93" s="1594"/>
      <c r="AC93" s="317"/>
      <c r="AD93" s="1594"/>
      <c r="AE93" s="1594"/>
      <c r="AF93" s="1594"/>
      <c r="AG93" s="1594"/>
      <c r="AH93" s="1594"/>
      <c r="AI93" s="1594"/>
      <c r="AJ93" s="1594"/>
      <c r="AK93" s="1594"/>
      <c r="AL93" s="1594"/>
      <c r="AM93" s="1594"/>
      <c r="AN93" s="1594"/>
      <c r="AO93" s="1594"/>
      <c r="AP93" s="1594"/>
      <c r="AQ93" s="1594"/>
      <c r="AR93" s="1594"/>
      <c r="AS93" s="1594"/>
      <c r="AT93" s="1594"/>
      <c r="AU93" s="1594"/>
      <c r="AV93" s="1594"/>
      <c r="AW93" s="1594"/>
      <c r="AX93" s="1594"/>
      <c r="AY93" s="1594"/>
      <c r="AZ93" s="1594"/>
      <c r="BA93" s="1594"/>
      <c r="BB93" s="1594"/>
      <c r="BC93" s="1594"/>
      <c r="BD93" s="1594"/>
      <c r="BE93" s="1594"/>
      <c r="BF93" s="1594"/>
      <c r="BG93" s="1594"/>
      <c r="BH93" s="1594"/>
      <c r="BI93" s="1594"/>
      <c r="BJ93" s="1594"/>
      <c r="BK93" s="1594"/>
      <c r="BL93" s="1594"/>
      <c r="BM93" s="1594"/>
      <c r="BN93" s="1594"/>
      <c r="BO93" s="1594"/>
      <c r="BP93" s="1594"/>
      <c r="BQ93" s="1594"/>
      <c r="BR93" s="1594"/>
      <c r="BS93" s="1594"/>
      <c r="BT93" s="1594"/>
      <c r="BU93" s="1594"/>
      <c r="BV93" s="1594"/>
      <c r="BW93" s="1594"/>
      <c r="BX93" s="1594"/>
      <c r="BY93" s="1594"/>
      <c r="BZ93" s="1594"/>
      <c r="CA93" s="1594"/>
      <c r="CB93" s="1594"/>
      <c r="CC93" s="1594"/>
      <c r="CD93" s="1594"/>
      <c r="CE93" s="1594"/>
      <c r="CF93" s="1594"/>
      <c r="CG93" s="1594"/>
      <c r="CH93" s="1594"/>
      <c r="CI93" s="1594"/>
      <c r="CJ93" s="1594"/>
      <c r="CK93" s="1594"/>
      <c r="CL93" s="1594"/>
      <c r="CM93" s="1594"/>
      <c r="CN93" s="1594"/>
      <c r="CO93" s="1594"/>
      <c r="CP93" s="1594"/>
      <c r="CQ93" s="1594"/>
      <c r="CR93" s="1594"/>
      <c r="CS93" s="1594"/>
      <c r="CT93" s="1594"/>
      <c r="CU93" s="1594"/>
      <c r="CV93" s="1594"/>
      <c r="CW93" s="1594"/>
      <c r="CX93" s="1594"/>
      <c r="CY93" s="1594"/>
      <c r="CZ93" s="1594"/>
    </row>
    <row r="94" spans="1:104" ht="13.5" thickBot="1">
      <c r="A94" s="1584"/>
      <c r="B94" s="142" t="s">
        <v>2440</v>
      </c>
      <c r="C94" s="1595"/>
      <c r="D94" s="410">
        <f>SUM(D91:D93)</f>
        <v>0</v>
      </c>
      <c r="E94" s="1595"/>
      <c r="F94" s="410">
        <f>SUM(F91:F93)</f>
        <v>0</v>
      </c>
      <c r="G94" s="1594"/>
      <c r="Q94" s="325"/>
      <c r="R94" s="1594"/>
      <c r="S94" s="1594"/>
      <c r="T94" s="1594"/>
      <c r="U94" s="527"/>
      <c r="V94" s="499"/>
      <c r="W94" s="316"/>
      <c r="X94" s="317"/>
      <c r="Y94" s="317"/>
      <c r="Z94" s="317"/>
      <c r="AA94" s="1594"/>
      <c r="AB94" s="1594"/>
      <c r="AC94" s="317"/>
      <c r="AD94" s="1594"/>
      <c r="AE94" s="1594"/>
      <c r="AF94" s="1594"/>
      <c r="AG94" s="1594"/>
      <c r="AH94" s="1594"/>
      <c r="AI94" s="1594"/>
      <c r="AJ94" s="1594"/>
      <c r="AK94" s="1594"/>
      <c r="AL94" s="1594"/>
      <c r="AM94" s="1594"/>
      <c r="AN94" s="1594"/>
      <c r="AO94" s="1594"/>
      <c r="AP94" s="1594"/>
      <c r="AQ94" s="1594"/>
      <c r="AR94" s="1594"/>
      <c r="AS94" s="1594"/>
      <c r="AT94" s="1594"/>
      <c r="AU94" s="1594"/>
      <c r="AV94" s="1594"/>
      <c r="AW94" s="1594"/>
      <c r="AX94" s="1594"/>
      <c r="AY94" s="1594"/>
      <c r="AZ94" s="1594"/>
      <c r="BA94" s="1594"/>
      <c r="BB94" s="1594"/>
      <c r="BC94" s="1594"/>
      <c r="BD94" s="1594"/>
      <c r="BE94" s="1594"/>
      <c r="BF94" s="1594"/>
      <c r="BG94" s="1594"/>
      <c r="BH94" s="1594"/>
      <c r="BI94" s="1594"/>
      <c r="BJ94" s="1594"/>
      <c r="BK94" s="1594"/>
      <c r="BL94" s="1594"/>
      <c r="BM94" s="1594"/>
      <c r="BN94" s="1594"/>
      <c r="BO94" s="1594"/>
      <c r="BP94" s="1594"/>
      <c r="BQ94" s="1594"/>
      <c r="BR94" s="1594"/>
      <c r="BS94" s="1594"/>
      <c r="BT94" s="1594"/>
      <c r="BU94" s="1594"/>
      <c r="BV94" s="1594"/>
      <c r="BW94" s="1594"/>
      <c r="BX94" s="1594"/>
      <c r="BY94" s="1594"/>
      <c r="BZ94" s="1594"/>
      <c r="CA94" s="1594"/>
      <c r="CB94" s="1594"/>
      <c r="CC94" s="1594"/>
      <c r="CD94" s="1594"/>
      <c r="CE94" s="1594"/>
      <c r="CF94" s="1594"/>
      <c r="CG94" s="1594"/>
      <c r="CH94" s="1594"/>
      <c r="CI94" s="1594"/>
      <c r="CJ94" s="1594"/>
      <c r="CK94" s="1594"/>
      <c r="CL94" s="1594"/>
      <c r="CM94" s="1594"/>
      <c r="CN94" s="1594"/>
      <c r="CO94" s="1594"/>
      <c r="CP94" s="1594"/>
      <c r="CQ94" s="1594"/>
      <c r="CR94" s="1594"/>
      <c r="CS94" s="1594"/>
      <c r="CT94" s="1594"/>
      <c r="CU94" s="1594"/>
      <c r="CV94" s="1594"/>
      <c r="CW94" s="1594"/>
      <c r="CX94" s="1594"/>
      <c r="CY94" s="1594"/>
      <c r="CZ94" s="1594"/>
    </row>
    <row r="95" spans="1:104" ht="13.5" thickTop="1">
      <c r="A95" s="1584"/>
      <c r="B95" s="1595"/>
      <c r="C95" s="1595"/>
      <c r="D95" s="325"/>
      <c r="E95" s="1595"/>
      <c r="F95" s="325"/>
      <c r="G95" s="1594"/>
      <c r="Q95" s="325"/>
      <c r="R95" s="1594"/>
      <c r="S95" s="1594"/>
      <c r="T95" s="1594"/>
      <c r="U95" s="527"/>
      <c r="V95" s="499"/>
      <c r="W95" s="316"/>
      <c r="X95" s="317"/>
      <c r="Y95" s="317"/>
      <c r="Z95" s="317"/>
      <c r="AA95" s="1594"/>
      <c r="AB95" s="1594"/>
      <c r="AC95" s="317"/>
      <c r="AD95" s="1594"/>
      <c r="AE95" s="1594"/>
      <c r="AF95" s="1594"/>
      <c r="AG95" s="1594"/>
      <c r="AH95" s="1594"/>
      <c r="AI95" s="1594"/>
      <c r="AJ95" s="1594"/>
      <c r="AK95" s="1594"/>
      <c r="AL95" s="1594"/>
      <c r="AM95" s="1594"/>
      <c r="AN95" s="1594"/>
      <c r="AO95" s="1594"/>
      <c r="AP95" s="1594"/>
      <c r="AQ95" s="1594"/>
      <c r="AR95" s="1594"/>
      <c r="AS95" s="1594"/>
      <c r="AT95" s="1594"/>
      <c r="AU95" s="1594"/>
      <c r="AV95" s="1594"/>
      <c r="AW95" s="1594"/>
      <c r="AX95" s="1594"/>
      <c r="AY95" s="1594"/>
      <c r="AZ95" s="1594"/>
      <c r="BA95" s="1594"/>
      <c r="BB95" s="1594"/>
      <c r="BC95" s="1594"/>
      <c r="BD95" s="1594"/>
      <c r="BE95" s="1594"/>
      <c r="BF95" s="1594"/>
      <c r="BG95" s="1594"/>
      <c r="BH95" s="1594"/>
      <c r="BI95" s="1594"/>
      <c r="BJ95" s="1594"/>
      <c r="BK95" s="1594"/>
      <c r="BL95" s="1594"/>
      <c r="BM95" s="1594"/>
      <c r="BN95" s="1594"/>
      <c r="BO95" s="1594"/>
      <c r="BP95" s="1594"/>
      <c r="BQ95" s="1594"/>
      <c r="BR95" s="1594"/>
      <c r="BS95" s="1594"/>
      <c r="BT95" s="1594"/>
      <c r="BU95" s="1594"/>
      <c r="BV95" s="1594"/>
      <c r="BW95" s="1594"/>
      <c r="BX95" s="1594"/>
      <c r="BY95" s="1594"/>
      <c r="BZ95" s="1594"/>
      <c r="CA95" s="1594"/>
      <c r="CB95" s="1594"/>
      <c r="CC95" s="1594"/>
      <c r="CD95" s="1594"/>
      <c r="CE95" s="1594"/>
      <c r="CF95" s="1594"/>
      <c r="CG95" s="1594"/>
      <c r="CH95" s="1594"/>
      <c r="CI95" s="1594"/>
      <c r="CJ95" s="1594"/>
      <c r="CK95" s="1594"/>
      <c r="CL95" s="1594"/>
      <c r="CM95" s="1594"/>
      <c r="CN95" s="1594"/>
      <c r="CO95" s="1594"/>
      <c r="CP95" s="1594"/>
      <c r="CQ95" s="1594"/>
      <c r="CR95" s="1594"/>
      <c r="CS95" s="1594"/>
      <c r="CT95" s="1594"/>
      <c r="CU95" s="1594"/>
      <c r="CV95" s="1594"/>
      <c r="CW95" s="1594"/>
      <c r="CX95" s="1594"/>
      <c r="CY95" s="1594"/>
      <c r="CZ95" s="1594"/>
    </row>
    <row r="96" spans="1:104" s="647" customFormat="1" ht="51">
      <c r="A96" s="281"/>
      <c r="B96" s="211" t="s">
        <v>1263</v>
      </c>
      <c r="C96" s="211"/>
      <c r="D96" s="328"/>
      <c r="E96" s="211"/>
      <c r="F96" s="328"/>
      <c r="G96" s="211"/>
      <c r="H96" s="329"/>
      <c r="I96" s="211"/>
      <c r="J96" s="211"/>
      <c r="K96" s="211"/>
      <c r="L96" s="211"/>
      <c r="M96" s="211"/>
      <c r="N96" s="211"/>
      <c r="O96" s="211"/>
      <c r="P96" s="211"/>
      <c r="Q96" s="211"/>
      <c r="R96" s="211"/>
      <c r="S96" s="211"/>
      <c r="T96" s="211"/>
      <c r="U96" s="645"/>
      <c r="V96" s="646"/>
      <c r="W96" s="328"/>
      <c r="X96" s="328"/>
      <c r="Y96" s="328"/>
      <c r="Z96" s="328"/>
      <c r="AA96" s="211"/>
      <c r="AB96" s="211"/>
      <c r="AC96" s="328"/>
      <c r="AD96" s="211"/>
      <c r="AE96" s="211"/>
      <c r="AF96" s="211"/>
      <c r="AG96" s="211"/>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c r="BI96" s="211"/>
      <c r="BJ96" s="211"/>
      <c r="BK96" s="211"/>
      <c r="BL96" s="211"/>
      <c r="BM96" s="211"/>
      <c r="BN96" s="211"/>
      <c r="BO96" s="211"/>
      <c r="BP96" s="211"/>
      <c r="BQ96" s="211"/>
      <c r="BR96" s="211"/>
      <c r="BS96" s="211"/>
      <c r="BT96" s="211"/>
      <c r="BU96" s="211"/>
      <c r="BV96" s="211"/>
      <c r="BW96" s="211"/>
      <c r="BX96" s="211"/>
      <c r="BY96" s="211"/>
      <c r="BZ96" s="211"/>
      <c r="CA96" s="211"/>
      <c r="CB96" s="211"/>
      <c r="CC96" s="211"/>
      <c r="CD96" s="211"/>
      <c r="CE96" s="211"/>
      <c r="CF96" s="211"/>
      <c r="CG96" s="211"/>
      <c r="CH96" s="211"/>
      <c r="CI96" s="211"/>
      <c r="CJ96" s="211"/>
      <c r="CK96" s="211"/>
      <c r="CL96" s="211"/>
      <c r="CM96" s="211"/>
      <c r="CN96" s="211"/>
      <c r="CO96" s="211"/>
      <c r="CP96" s="211"/>
      <c r="CQ96" s="211"/>
      <c r="CR96" s="211"/>
      <c r="CS96" s="211"/>
      <c r="CT96" s="211"/>
      <c r="CU96" s="211"/>
      <c r="CV96" s="211"/>
      <c r="CW96" s="211"/>
      <c r="CX96" s="211"/>
      <c r="CY96" s="211"/>
      <c r="CZ96" s="211"/>
    </row>
    <row r="97" spans="1:104">
      <c r="A97" s="1584"/>
      <c r="B97" s="1594"/>
      <c r="C97" s="1594"/>
      <c r="D97" s="317"/>
      <c r="E97" s="1594"/>
      <c r="F97" s="317"/>
      <c r="G97" s="1594"/>
      <c r="Q97" s="317"/>
      <c r="R97" s="1594"/>
      <c r="S97" s="1594"/>
      <c r="T97" s="1594"/>
      <c r="U97" s="621"/>
      <c r="V97" s="499"/>
      <c r="W97" s="317"/>
      <c r="X97" s="317"/>
      <c r="Y97" s="317"/>
      <c r="Z97" s="317"/>
      <c r="AA97" s="1594"/>
      <c r="AB97" s="1594"/>
      <c r="AC97" s="317"/>
      <c r="AD97" s="1594"/>
      <c r="AE97" s="1594"/>
      <c r="AF97" s="1594"/>
      <c r="AG97" s="1594"/>
      <c r="AH97" s="1594"/>
      <c r="AI97" s="1594"/>
      <c r="AJ97" s="1594"/>
      <c r="AK97" s="1594"/>
      <c r="AL97" s="1594"/>
      <c r="AM97" s="1594"/>
      <c r="AN97" s="1594"/>
      <c r="AO97" s="1594"/>
      <c r="AP97" s="1594"/>
      <c r="AQ97" s="1594"/>
      <c r="AR97" s="1594"/>
      <c r="AS97" s="1594"/>
      <c r="AT97" s="1594"/>
      <c r="AU97" s="1594"/>
      <c r="AV97" s="1594"/>
      <c r="AW97" s="1594"/>
      <c r="AX97" s="1594"/>
      <c r="AY97" s="1594"/>
      <c r="AZ97" s="1594"/>
      <c r="BA97" s="1594"/>
      <c r="BB97" s="1594"/>
      <c r="BC97" s="1594"/>
      <c r="BD97" s="1594"/>
      <c r="BE97" s="1594"/>
      <c r="BF97" s="1594"/>
      <c r="BG97" s="1594"/>
      <c r="BH97" s="1594"/>
      <c r="BI97" s="1594"/>
      <c r="BJ97" s="1594"/>
      <c r="BK97" s="1594"/>
      <c r="BL97" s="1594"/>
      <c r="BM97" s="1594"/>
      <c r="BN97" s="1594"/>
      <c r="BO97" s="1594"/>
      <c r="BP97" s="1594"/>
      <c r="BQ97" s="1594"/>
      <c r="BR97" s="1594"/>
      <c r="BS97" s="1594"/>
      <c r="BT97" s="1594"/>
      <c r="BU97" s="1594"/>
      <c r="BV97" s="1594"/>
      <c r="BW97" s="1594"/>
      <c r="BX97" s="1594"/>
      <c r="BY97" s="1594"/>
      <c r="BZ97" s="1594"/>
      <c r="CA97" s="1594"/>
      <c r="CB97" s="1594"/>
      <c r="CC97" s="1594"/>
      <c r="CD97" s="1594"/>
      <c r="CE97" s="1594"/>
      <c r="CF97" s="1594"/>
      <c r="CG97" s="1594"/>
      <c r="CH97" s="1594"/>
      <c r="CI97" s="1594"/>
      <c r="CJ97" s="1594"/>
      <c r="CK97" s="1594"/>
      <c r="CL97" s="1594"/>
      <c r="CM97" s="1594"/>
      <c r="CN97" s="1594"/>
      <c r="CO97" s="1594"/>
      <c r="CP97" s="1594"/>
      <c r="CQ97" s="1594"/>
      <c r="CR97" s="1594"/>
      <c r="CS97" s="1594"/>
      <c r="CT97" s="1594"/>
      <c r="CU97" s="1594"/>
      <c r="CV97" s="1594"/>
      <c r="CW97" s="1594"/>
      <c r="CX97" s="1594"/>
      <c r="CY97" s="1594"/>
      <c r="CZ97" s="1594"/>
    </row>
    <row r="98" spans="1:104" ht="14.25" customHeight="1">
      <c r="A98" s="1584">
        <v>21.5</v>
      </c>
      <c r="B98" s="1727" t="s">
        <v>1264</v>
      </c>
      <c r="C98" s="1727"/>
      <c r="D98" s="1727"/>
      <c r="E98" s="1727"/>
      <c r="F98" s="1727"/>
      <c r="G98" s="1727"/>
      <c r="H98" s="188"/>
      <c r="I98" s="1591"/>
      <c r="J98" s="1591"/>
      <c r="K98" s="1591"/>
      <c r="L98" s="1591"/>
      <c r="M98" s="1591"/>
      <c r="N98" s="1591"/>
      <c r="O98" s="1591"/>
      <c r="P98" s="1591"/>
      <c r="Q98" s="325"/>
      <c r="R98" s="1594"/>
      <c r="S98" s="1594"/>
      <c r="T98" s="1594"/>
      <c r="U98" s="621"/>
      <c r="V98" s="499"/>
      <c r="W98" s="317"/>
      <c r="X98" s="317"/>
      <c r="Y98" s="317"/>
      <c r="Z98" s="317"/>
      <c r="AA98" s="1594"/>
      <c r="AB98" s="1594"/>
      <c r="AC98" s="317"/>
      <c r="AD98" s="1594"/>
      <c r="AE98" s="1594"/>
      <c r="AF98" s="1594"/>
      <c r="AG98" s="1594"/>
      <c r="AH98" s="1594"/>
      <c r="AI98" s="1594"/>
      <c r="AJ98" s="1594"/>
      <c r="AK98" s="1594"/>
      <c r="AL98" s="1594"/>
      <c r="AM98" s="1594"/>
      <c r="AN98" s="1594"/>
      <c r="AO98" s="1594"/>
      <c r="AP98" s="1594"/>
      <c r="AQ98" s="1594"/>
      <c r="AR98" s="1594"/>
      <c r="AS98" s="1594"/>
      <c r="AT98" s="1594"/>
      <c r="AU98" s="1594"/>
      <c r="AV98" s="1594"/>
      <c r="AW98" s="1594"/>
      <c r="AX98" s="1594"/>
      <c r="AY98" s="1594"/>
      <c r="AZ98" s="1594"/>
      <c r="BA98" s="1594"/>
      <c r="BB98" s="1594"/>
      <c r="BC98" s="1594"/>
      <c r="BD98" s="1594"/>
      <c r="BE98" s="1594"/>
      <c r="BF98" s="1594"/>
      <c r="BG98" s="1594"/>
      <c r="BH98" s="1594"/>
      <c r="BI98" s="1594"/>
      <c r="BJ98" s="1594"/>
      <c r="BK98" s="1594"/>
      <c r="BL98" s="1594"/>
      <c r="BM98" s="1594"/>
      <c r="BN98" s="1594"/>
      <c r="BO98" s="1594"/>
      <c r="BP98" s="1594"/>
      <c r="BQ98" s="1594"/>
      <c r="BR98" s="1594"/>
      <c r="BS98" s="1594"/>
      <c r="BT98" s="1594"/>
      <c r="BU98" s="1594"/>
      <c r="BV98" s="1594"/>
      <c r="BW98" s="1594"/>
      <c r="BX98" s="1594"/>
      <c r="BY98" s="1594"/>
      <c r="BZ98" s="1594"/>
      <c r="CA98" s="1594"/>
      <c r="CB98" s="1594"/>
      <c r="CC98" s="1594"/>
      <c r="CD98" s="1594"/>
      <c r="CE98" s="1594"/>
      <c r="CF98" s="1594"/>
      <c r="CG98" s="1594"/>
      <c r="CH98" s="1594"/>
      <c r="CI98" s="1594"/>
      <c r="CJ98" s="1594"/>
      <c r="CK98" s="1594"/>
      <c r="CL98" s="1594"/>
      <c r="CM98" s="1594"/>
      <c r="CN98" s="1594"/>
      <c r="CO98" s="1594"/>
      <c r="CP98" s="1594"/>
      <c r="CQ98" s="1594"/>
      <c r="CR98" s="1594"/>
      <c r="CS98" s="1594"/>
      <c r="CT98" s="1594"/>
      <c r="CU98" s="1594"/>
      <c r="CV98" s="1594"/>
      <c r="CW98" s="1594"/>
      <c r="CX98" s="1594"/>
      <c r="CY98" s="1594"/>
      <c r="CZ98" s="1594"/>
    </row>
    <row r="99" spans="1:104">
      <c r="A99" s="1584"/>
      <c r="B99" s="1595" t="s">
        <v>1262</v>
      </c>
      <c r="C99" s="1595"/>
      <c r="D99" s="262"/>
      <c r="E99" s="1595"/>
      <c r="F99" s="262"/>
      <c r="G99" s="1595"/>
      <c r="H99" s="241"/>
      <c r="I99" s="1595"/>
      <c r="J99" s="1595"/>
      <c r="K99" s="1595"/>
      <c r="L99" s="1595"/>
      <c r="M99" s="1595"/>
      <c r="N99" s="1595"/>
      <c r="O99" s="1595"/>
      <c r="P99" s="1595"/>
      <c r="Q99" s="325"/>
      <c r="R99" s="317"/>
      <c r="S99" s="317"/>
      <c r="T99" s="317"/>
      <c r="U99" s="527"/>
      <c r="V99" s="499"/>
      <c r="W99" s="317"/>
      <c r="X99" s="317"/>
      <c r="Y99" s="317"/>
      <c r="Z99" s="317"/>
      <c r="AA99" s="1594"/>
      <c r="AB99" s="1594"/>
      <c r="AC99" s="317"/>
      <c r="AD99" s="1594"/>
      <c r="AE99" s="1594"/>
      <c r="AF99" s="1594"/>
      <c r="AG99" s="1594"/>
      <c r="AH99" s="1594"/>
      <c r="AI99" s="1594"/>
      <c r="AJ99" s="1594"/>
      <c r="AK99" s="1594"/>
      <c r="AL99" s="1594"/>
      <c r="AM99" s="1594"/>
      <c r="AN99" s="1594"/>
      <c r="AO99" s="1594"/>
      <c r="AP99" s="1594"/>
      <c r="AQ99" s="1594"/>
      <c r="AR99" s="1594"/>
      <c r="AS99" s="1594"/>
      <c r="AT99" s="1594"/>
      <c r="AU99" s="1594"/>
      <c r="AV99" s="1594"/>
      <c r="AW99" s="1594"/>
      <c r="AX99" s="1594"/>
      <c r="AY99" s="1594"/>
      <c r="AZ99" s="1594"/>
      <c r="BA99" s="1594"/>
      <c r="BB99" s="1594"/>
      <c r="BC99" s="1594"/>
      <c r="BD99" s="1594"/>
      <c r="BE99" s="1594"/>
      <c r="BF99" s="1594"/>
      <c r="BG99" s="1594"/>
      <c r="BH99" s="1594"/>
      <c r="BI99" s="1594"/>
      <c r="BJ99" s="1594"/>
      <c r="BK99" s="1594"/>
      <c r="BL99" s="1594"/>
      <c r="BM99" s="1594"/>
      <c r="BN99" s="1594"/>
      <c r="BO99" s="1594"/>
      <c r="BP99" s="1594"/>
      <c r="BQ99" s="1594"/>
      <c r="BR99" s="1594"/>
      <c r="BS99" s="1594"/>
      <c r="BT99" s="1594"/>
      <c r="BU99" s="1594"/>
      <c r="BV99" s="1594"/>
      <c r="BW99" s="1594"/>
      <c r="BX99" s="1594"/>
      <c r="BY99" s="1594"/>
      <c r="BZ99" s="1594"/>
      <c r="CA99" s="1594"/>
      <c r="CB99" s="1594"/>
      <c r="CC99" s="1594"/>
      <c r="CD99" s="1594"/>
      <c r="CE99" s="1594"/>
      <c r="CF99" s="1594"/>
      <c r="CG99" s="1594"/>
      <c r="CH99" s="1594"/>
      <c r="CI99" s="1594"/>
      <c r="CJ99" s="1594"/>
      <c r="CK99" s="1594"/>
      <c r="CL99" s="1594"/>
      <c r="CM99" s="1594"/>
      <c r="CN99" s="1594"/>
      <c r="CO99" s="1594"/>
      <c r="CP99" s="1594"/>
      <c r="CQ99" s="1594"/>
      <c r="CR99" s="1594"/>
      <c r="CS99" s="1594"/>
      <c r="CT99" s="1594"/>
      <c r="CU99" s="1594"/>
      <c r="CV99" s="1594"/>
      <c r="CW99" s="1594"/>
      <c r="CX99" s="1594"/>
      <c r="CY99" s="1594"/>
      <c r="CZ99" s="1594"/>
    </row>
    <row r="100" spans="1:104">
      <c r="A100" s="1584"/>
      <c r="B100" s="1595" t="s">
        <v>1259</v>
      </c>
      <c r="C100" s="1595"/>
      <c r="D100" s="331">
        <f>-'TRAIL BALANCE'!F247</f>
        <v>750000</v>
      </c>
      <c r="E100" s="1595"/>
      <c r="F100" s="331">
        <f>-'TRAIL BALANCE'!E247</f>
        <v>735000</v>
      </c>
      <c r="G100" s="1595"/>
      <c r="H100" s="241"/>
      <c r="I100" s="1595"/>
      <c r="J100" s="1595"/>
      <c r="K100" s="1595"/>
      <c r="L100" s="1595"/>
      <c r="M100" s="1595"/>
      <c r="N100" s="1595"/>
      <c r="O100" s="1595"/>
      <c r="P100" s="1595"/>
      <c r="Q100" s="640" t="e">
        <f>-SUM('TRAIL BALANCE'!#REF!)</f>
        <v>#REF!</v>
      </c>
      <c r="R100" s="317"/>
      <c r="S100" s="317"/>
      <c r="T100" s="317"/>
      <c r="U100" s="641" t="e">
        <f>-SUM('TRAIL BALANCE'!#REF!)</f>
        <v>#REF!</v>
      </c>
      <c r="V100" s="499"/>
      <c r="W100" s="317"/>
      <c r="X100" s="317"/>
      <c r="Y100" s="317"/>
      <c r="Z100" s="317"/>
      <c r="AA100" s="1594"/>
      <c r="AB100" s="1594"/>
      <c r="AC100" s="317"/>
      <c r="AD100" s="1594"/>
      <c r="AE100" s="1594"/>
      <c r="AF100" s="1594"/>
      <c r="AG100" s="1594"/>
      <c r="AH100" s="1594"/>
      <c r="AI100" s="1594"/>
      <c r="AJ100" s="1594"/>
      <c r="AK100" s="1594"/>
      <c r="AL100" s="1594"/>
      <c r="AM100" s="1594"/>
      <c r="AN100" s="1594"/>
      <c r="AO100" s="1594"/>
      <c r="AP100" s="1594"/>
      <c r="AQ100" s="1594"/>
      <c r="AR100" s="1594"/>
      <c r="AS100" s="1594"/>
      <c r="AT100" s="1594"/>
      <c r="AU100" s="1594"/>
      <c r="AV100" s="1594"/>
      <c r="AW100" s="1594"/>
      <c r="AX100" s="1594"/>
      <c r="AY100" s="1594"/>
      <c r="AZ100" s="1594"/>
      <c r="BA100" s="1594"/>
      <c r="BB100" s="1594"/>
      <c r="BC100" s="1594"/>
      <c r="BD100" s="1594"/>
      <c r="BE100" s="1594"/>
      <c r="BF100" s="1594"/>
      <c r="BG100" s="1594"/>
      <c r="BH100" s="1594"/>
      <c r="BI100" s="1594"/>
      <c r="BJ100" s="1594"/>
      <c r="BK100" s="1594"/>
      <c r="BL100" s="1594"/>
      <c r="BM100" s="1594"/>
      <c r="BN100" s="1594"/>
      <c r="BO100" s="1594"/>
      <c r="BP100" s="1594"/>
      <c r="BQ100" s="1594"/>
      <c r="BR100" s="1594"/>
      <c r="BS100" s="1594"/>
      <c r="BT100" s="1594"/>
      <c r="BU100" s="1594"/>
      <c r="BV100" s="1594"/>
      <c r="BW100" s="1594"/>
      <c r="BX100" s="1594"/>
      <c r="BY100" s="1594"/>
      <c r="BZ100" s="1594"/>
      <c r="CA100" s="1594"/>
      <c r="CB100" s="1594"/>
      <c r="CC100" s="1594"/>
      <c r="CD100" s="1594"/>
      <c r="CE100" s="1594"/>
      <c r="CF100" s="1594"/>
      <c r="CG100" s="1594"/>
      <c r="CH100" s="1594"/>
      <c r="CI100" s="1594"/>
      <c r="CJ100" s="1594"/>
      <c r="CK100" s="1594"/>
      <c r="CL100" s="1594"/>
      <c r="CM100" s="1594"/>
      <c r="CN100" s="1594"/>
      <c r="CO100" s="1594"/>
      <c r="CP100" s="1594"/>
      <c r="CQ100" s="1594"/>
      <c r="CR100" s="1594"/>
      <c r="CS100" s="1594"/>
      <c r="CT100" s="1594"/>
      <c r="CU100" s="1594"/>
      <c r="CV100" s="1594"/>
      <c r="CW100" s="1594"/>
      <c r="CX100" s="1594"/>
      <c r="CY100" s="1594"/>
      <c r="CZ100" s="1594"/>
    </row>
    <row r="101" spans="1:104">
      <c r="A101" s="1584"/>
      <c r="B101" s="1595" t="s">
        <v>1260</v>
      </c>
      <c r="C101" s="1595"/>
      <c r="D101" s="327">
        <v>-750000</v>
      </c>
      <c r="E101" s="1595"/>
      <c r="F101" s="327">
        <v>-735000</v>
      </c>
      <c r="G101" s="1595"/>
      <c r="H101" s="241"/>
      <c r="I101" s="1595"/>
      <c r="J101" s="1595"/>
      <c r="K101" s="1595"/>
      <c r="L101" s="1595"/>
      <c r="M101" s="1595"/>
      <c r="N101" s="1595"/>
      <c r="O101" s="1595"/>
      <c r="P101" s="1595"/>
      <c r="Q101" s="643" t="e">
        <f>SUM('TRAIL BALANCE'!#REF!)</f>
        <v>#REF!</v>
      </c>
      <c r="R101" s="317"/>
      <c r="S101" s="317"/>
      <c r="T101" s="317"/>
      <c r="U101" s="644" t="e">
        <f>SUM('TRAIL BALANCE'!#REF!)</f>
        <v>#REF!</v>
      </c>
      <c r="V101" s="499"/>
      <c r="W101" s="316" t="s">
        <v>36</v>
      </c>
      <c r="X101" s="317"/>
      <c r="Y101" s="317"/>
      <c r="Z101" s="317"/>
      <c r="AA101" s="1594"/>
      <c r="AB101" s="1594"/>
      <c r="AC101" s="317"/>
      <c r="AD101" s="1594"/>
      <c r="AE101" s="1594"/>
      <c r="AF101" s="1594"/>
      <c r="AG101" s="1594"/>
      <c r="AH101" s="1594"/>
      <c r="AI101" s="1594"/>
      <c r="AJ101" s="1594"/>
      <c r="AK101" s="1594"/>
      <c r="AL101" s="1594"/>
      <c r="AM101" s="1594"/>
      <c r="AN101" s="1594"/>
      <c r="AO101" s="1594"/>
      <c r="AP101" s="1594"/>
      <c r="AQ101" s="1594"/>
      <c r="AR101" s="1594"/>
      <c r="AS101" s="1594"/>
      <c r="AT101" s="1594"/>
      <c r="AU101" s="1594"/>
      <c r="AV101" s="1594"/>
      <c r="AW101" s="1594"/>
      <c r="AX101" s="1594"/>
      <c r="AY101" s="1594"/>
      <c r="AZ101" s="1594"/>
      <c r="BA101" s="1594"/>
      <c r="BB101" s="1594"/>
      <c r="BC101" s="1594"/>
      <c r="BD101" s="1594"/>
      <c r="BE101" s="1594"/>
      <c r="BF101" s="1594"/>
      <c r="BG101" s="1594"/>
      <c r="BH101" s="1594"/>
      <c r="BI101" s="1594"/>
      <c r="BJ101" s="1594"/>
      <c r="BK101" s="1594"/>
      <c r="BL101" s="1594"/>
      <c r="BM101" s="1594"/>
      <c r="BN101" s="1594"/>
      <c r="BO101" s="1594"/>
      <c r="BP101" s="1594"/>
      <c r="BQ101" s="1594"/>
      <c r="BR101" s="1594"/>
      <c r="BS101" s="1594"/>
      <c r="BT101" s="1594"/>
      <c r="BU101" s="1594"/>
      <c r="BV101" s="1594"/>
      <c r="BW101" s="1594"/>
      <c r="BX101" s="1594"/>
      <c r="BY101" s="1594"/>
      <c r="BZ101" s="1594"/>
      <c r="CA101" s="1594"/>
      <c r="CB101" s="1594"/>
      <c r="CC101" s="1594"/>
      <c r="CD101" s="1594"/>
      <c r="CE101" s="1594"/>
      <c r="CF101" s="1594"/>
      <c r="CG101" s="1594"/>
      <c r="CH101" s="1594"/>
      <c r="CI101" s="1594"/>
      <c r="CJ101" s="1594"/>
      <c r="CK101" s="1594"/>
      <c r="CL101" s="1594"/>
      <c r="CM101" s="1594"/>
      <c r="CN101" s="1594"/>
      <c r="CO101" s="1594"/>
      <c r="CP101" s="1594"/>
      <c r="CQ101" s="1594"/>
      <c r="CR101" s="1594"/>
      <c r="CS101" s="1594"/>
      <c r="CT101" s="1594"/>
      <c r="CU101" s="1594"/>
      <c r="CV101" s="1594"/>
      <c r="CW101" s="1594"/>
      <c r="CX101" s="1594"/>
      <c r="CY101" s="1594"/>
      <c r="CZ101" s="1594"/>
    </row>
    <row r="102" spans="1:104">
      <c r="A102" s="1584"/>
      <c r="B102" s="1595"/>
      <c r="C102" s="1595"/>
      <c r="D102" s="325"/>
      <c r="E102" s="1595"/>
      <c r="F102" s="325"/>
      <c r="G102" s="1595"/>
      <c r="H102" s="241"/>
      <c r="I102" s="1595"/>
      <c r="J102" s="1595"/>
      <c r="K102" s="1595"/>
      <c r="L102" s="1595"/>
      <c r="M102" s="1595"/>
      <c r="N102" s="1595"/>
      <c r="O102" s="1595"/>
      <c r="P102" s="1595"/>
      <c r="Q102" s="325"/>
      <c r="R102" s="317"/>
      <c r="S102" s="317"/>
      <c r="T102" s="317"/>
      <c r="U102" s="527"/>
      <c r="V102" s="499"/>
      <c r="W102" s="316"/>
      <c r="X102" s="317"/>
      <c r="Y102" s="317"/>
      <c r="Z102" s="317"/>
      <c r="AA102" s="1594"/>
      <c r="AB102" s="1594"/>
      <c r="AC102" s="317"/>
      <c r="AD102" s="1594"/>
      <c r="AE102" s="1594"/>
      <c r="AF102" s="1594"/>
      <c r="AG102" s="1594"/>
      <c r="AH102" s="1594"/>
      <c r="AI102" s="1594"/>
      <c r="AJ102" s="1594"/>
      <c r="AK102" s="1594"/>
      <c r="AL102" s="1594"/>
      <c r="AM102" s="1594"/>
      <c r="AN102" s="1594"/>
      <c r="AO102" s="1594"/>
      <c r="AP102" s="1594"/>
      <c r="AQ102" s="1594"/>
      <c r="AR102" s="1594"/>
      <c r="AS102" s="1594"/>
      <c r="AT102" s="1594"/>
      <c r="AU102" s="1594"/>
      <c r="AV102" s="1594"/>
      <c r="AW102" s="1594"/>
      <c r="AX102" s="1594"/>
      <c r="AY102" s="1594"/>
      <c r="AZ102" s="1594"/>
      <c r="BA102" s="1594"/>
      <c r="BB102" s="1594"/>
      <c r="BC102" s="1594"/>
      <c r="BD102" s="1594"/>
      <c r="BE102" s="1594"/>
      <c r="BF102" s="1594"/>
      <c r="BG102" s="1594"/>
      <c r="BH102" s="1594"/>
      <c r="BI102" s="1594"/>
      <c r="BJ102" s="1594"/>
      <c r="BK102" s="1594"/>
      <c r="BL102" s="1594"/>
      <c r="BM102" s="1594"/>
      <c r="BN102" s="1594"/>
      <c r="BO102" s="1594"/>
      <c r="BP102" s="1594"/>
      <c r="BQ102" s="1594"/>
      <c r="BR102" s="1594"/>
      <c r="BS102" s="1594"/>
      <c r="BT102" s="1594"/>
      <c r="BU102" s="1594"/>
      <c r="BV102" s="1594"/>
      <c r="BW102" s="1594"/>
      <c r="BX102" s="1594"/>
      <c r="BY102" s="1594"/>
      <c r="BZ102" s="1594"/>
      <c r="CA102" s="1594"/>
      <c r="CB102" s="1594"/>
      <c r="CC102" s="1594"/>
      <c r="CD102" s="1594"/>
      <c r="CE102" s="1594"/>
      <c r="CF102" s="1594"/>
      <c r="CG102" s="1594"/>
      <c r="CH102" s="1594"/>
      <c r="CI102" s="1594"/>
      <c r="CJ102" s="1594"/>
      <c r="CK102" s="1594"/>
      <c r="CL102" s="1594"/>
      <c r="CM102" s="1594"/>
      <c r="CN102" s="1594"/>
      <c r="CO102" s="1594"/>
      <c r="CP102" s="1594"/>
      <c r="CQ102" s="1594"/>
      <c r="CR102" s="1594"/>
      <c r="CS102" s="1594"/>
      <c r="CT102" s="1594"/>
      <c r="CU102" s="1594"/>
      <c r="CV102" s="1594"/>
      <c r="CW102" s="1594"/>
      <c r="CX102" s="1594"/>
      <c r="CY102" s="1594"/>
      <c r="CZ102" s="1594"/>
    </row>
    <row r="103" spans="1:104" s="141" customFormat="1" ht="13.5" thickBot="1">
      <c r="A103" s="1584"/>
      <c r="B103" s="142" t="s">
        <v>2440</v>
      </c>
      <c r="C103" s="142"/>
      <c r="D103" s="1176">
        <f>SUM(D99:D101)</f>
        <v>0</v>
      </c>
      <c r="E103" s="142"/>
      <c r="F103" s="1176">
        <f>SUM(F99:F101)</f>
        <v>0</v>
      </c>
      <c r="G103" s="142"/>
      <c r="H103" s="187"/>
      <c r="I103" s="142"/>
      <c r="J103" s="142"/>
      <c r="K103" s="142"/>
      <c r="L103" s="142"/>
      <c r="M103" s="142"/>
      <c r="N103" s="142"/>
      <c r="O103" s="142"/>
      <c r="P103" s="142"/>
      <c r="Q103" s="147" t="e">
        <f>SUM(Q99:Q101)</f>
        <v>#REF!</v>
      </c>
      <c r="R103" s="136"/>
      <c r="S103" s="136"/>
      <c r="T103" s="136"/>
      <c r="U103" s="250" t="e">
        <f>SUM(U99:U101)</f>
        <v>#REF!</v>
      </c>
      <c r="V103" s="223"/>
      <c r="W103" s="136"/>
      <c r="X103" s="136"/>
      <c r="Y103" s="136"/>
      <c r="Z103" s="136"/>
      <c r="AA103" s="135"/>
      <c r="AB103" s="135"/>
      <c r="AC103" s="136"/>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row>
    <row r="104" spans="1:104">
      <c r="A104" s="1584"/>
      <c r="B104" s="1595"/>
      <c r="C104" s="1595"/>
      <c r="D104" s="325"/>
      <c r="E104" s="1595"/>
      <c r="F104" s="325"/>
      <c r="G104" s="1595"/>
      <c r="H104" s="241"/>
      <c r="I104" s="1595"/>
      <c r="J104" s="1595"/>
      <c r="K104" s="1595"/>
      <c r="L104" s="1595"/>
      <c r="M104" s="1595"/>
      <c r="N104" s="1595"/>
      <c r="O104" s="1595"/>
      <c r="P104" s="1595"/>
      <c r="Q104" s="325"/>
      <c r="R104" s="1594"/>
      <c r="S104" s="1594"/>
      <c r="T104" s="1594"/>
      <c r="U104" s="621"/>
      <c r="V104" s="499"/>
      <c r="W104" s="317"/>
      <c r="X104" s="317"/>
      <c r="Y104" s="317"/>
      <c r="Z104" s="317"/>
      <c r="AA104" s="1594"/>
      <c r="AB104" s="1594"/>
      <c r="AC104" s="317"/>
      <c r="AD104" s="1594"/>
      <c r="AE104" s="1594"/>
      <c r="AF104" s="1594"/>
      <c r="AG104" s="1594"/>
      <c r="AH104" s="1594"/>
      <c r="AI104" s="1594"/>
      <c r="AJ104" s="1594"/>
      <c r="AK104" s="1594"/>
      <c r="AL104" s="1594"/>
      <c r="AM104" s="1594"/>
      <c r="AN104" s="1594"/>
      <c r="AO104" s="1594"/>
      <c r="AP104" s="1594"/>
      <c r="AQ104" s="1594"/>
      <c r="AR104" s="1594"/>
      <c r="AS104" s="1594"/>
      <c r="AT104" s="1594"/>
      <c r="AU104" s="1594"/>
      <c r="AV104" s="1594"/>
      <c r="AW104" s="1594"/>
      <c r="AX104" s="1594"/>
      <c r="AY104" s="1594"/>
      <c r="AZ104" s="1594"/>
      <c r="BA104" s="1594"/>
      <c r="BB104" s="1594"/>
      <c r="BC104" s="1594"/>
      <c r="BD104" s="1594"/>
      <c r="BE104" s="1594"/>
      <c r="BF104" s="1594"/>
      <c r="BG104" s="1594"/>
      <c r="BH104" s="1594"/>
      <c r="BI104" s="1594"/>
      <c r="BJ104" s="1594"/>
      <c r="BK104" s="1594"/>
      <c r="BL104" s="1594"/>
      <c r="BM104" s="1594"/>
      <c r="BN104" s="1594"/>
      <c r="BO104" s="1594"/>
      <c r="BP104" s="1594"/>
      <c r="BQ104" s="1594"/>
      <c r="BR104" s="1594"/>
      <c r="BS104" s="1594"/>
      <c r="BT104" s="1594"/>
      <c r="BU104" s="1594"/>
      <c r="BV104" s="1594"/>
      <c r="BW104" s="1594"/>
      <c r="BX104" s="1594"/>
      <c r="BY104" s="1594"/>
      <c r="BZ104" s="1594"/>
      <c r="CA104" s="1594"/>
      <c r="CB104" s="1594"/>
      <c r="CC104" s="1594"/>
      <c r="CD104" s="1594"/>
      <c r="CE104" s="1594"/>
      <c r="CF104" s="1594"/>
      <c r="CG104" s="1594"/>
      <c r="CH104" s="1594"/>
      <c r="CI104" s="1594"/>
      <c r="CJ104" s="1594"/>
      <c r="CK104" s="1594"/>
      <c r="CL104" s="1594"/>
      <c r="CM104" s="1594"/>
      <c r="CN104" s="1594"/>
      <c r="CO104" s="1594"/>
      <c r="CP104" s="1594"/>
      <c r="CQ104" s="1594"/>
      <c r="CR104" s="1594"/>
      <c r="CS104" s="1594"/>
      <c r="CT104" s="1594"/>
      <c r="CU104" s="1594"/>
      <c r="CV104" s="1594"/>
      <c r="CW104" s="1594"/>
      <c r="CX104" s="1594"/>
      <c r="CY104" s="1594"/>
      <c r="CZ104" s="1594"/>
    </row>
    <row r="105" spans="1:104" s="647" customFormat="1" ht="51">
      <c r="A105" s="281"/>
      <c r="B105" s="211" t="s">
        <v>1265</v>
      </c>
      <c r="C105" s="211"/>
      <c r="D105" s="328"/>
      <c r="E105" s="211"/>
      <c r="F105" s="328"/>
      <c r="G105" s="211"/>
      <c r="H105" s="329"/>
      <c r="I105" s="211"/>
      <c r="J105" s="211"/>
      <c r="K105" s="211"/>
      <c r="L105" s="211"/>
      <c r="M105" s="211"/>
      <c r="N105" s="211"/>
      <c r="O105" s="211"/>
      <c r="P105" s="211"/>
      <c r="Q105" s="211"/>
      <c r="R105" s="211"/>
      <c r="S105" s="211"/>
      <c r="T105" s="211"/>
      <c r="U105" s="645"/>
      <c r="V105" s="646"/>
      <c r="W105" s="328"/>
      <c r="X105" s="328" t="s">
        <v>36</v>
      </c>
      <c r="Y105" s="328"/>
      <c r="Z105" s="328"/>
      <c r="AA105" s="211"/>
      <c r="AB105" s="211"/>
      <c r="AC105" s="328"/>
      <c r="AD105" s="211"/>
      <c r="AE105" s="211"/>
      <c r="AF105" s="211"/>
      <c r="AG105" s="211"/>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c r="BI105" s="211"/>
      <c r="BJ105" s="211"/>
      <c r="BK105" s="211"/>
      <c r="BL105" s="211"/>
      <c r="BM105" s="211"/>
      <c r="BN105" s="211"/>
      <c r="BO105" s="211"/>
      <c r="BP105" s="211"/>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row>
    <row r="106" spans="1:104">
      <c r="A106" s="1584"/>
      <c r="B106" s="1594"/>
      <c r="C106" s="1594"/>
      <c r="D106" s="317"/>
      <c r="E106" s="1594"/>
      <c r="F106" s="317"/>
      <c r="G106" s="1594"/>
      <c r="Q106" s="317"/>
      <c r="R106" s="1594"/>
      <c r="S106" s="1594"/>
      <c r="T106" s="1594"/>
      <c r="U106" s="621"/>
      <c r="V106" s="499"/>
      <c r="W106" s="317"/>
      <c r="X106" s="317"/>
      <c r="Y106" s="317"/>
      <c r="Z106" s="317"/>
      <c r="AA106" s="1594"/>
      <c r="AB106" s="1594"/>
      <c r="AC106" s="317"/>
      <c r="AD106" s="1594"/>
      <c r="AE106" s="1594"/>
      <c r="AF106" s="1594"/>
      <c r="AG106" s="1594"/>
      <c r="AH106" s="1594"/>
      <c r="AI106" s="1594"/>
      <c r="AJ106" s="1594"/>
      <c r="AK106" s="1594"/>
      <c r="AL106" s="1594"/>
      <c r="AM106" s="1594"/>
      <c r="AN106" s="1594"/>
      <c r="AO106" s="1594"/>
      <c r="AP106" s="1594"/>
      <c r="AQ106" s="1594"/>
      <c r="AR106" s="1594"/>
      <c r="AS106" s="1594"/>
      <c r="AT106" s="1594"/>
      <c r="AU106" s="1594"/>
      <c r="AV106" s="1594"/>
      <c r="AW106" s="1594"/>
      <c r="AX106" s="1594"/>
      <c r="AY106" s="1594"/>
      <c r="AZ106" s="1594"/>
      <c r="BA106" s="1594"/>
      <c r="BB106" s="1594"/>
      <c r="BC106" s="1594"/>
      <c r="BD106" s="1594"/>
      <c r="BE106" s="1594"/>
      <c r="BF106" s="1594"/>
      <c r="BG106" s="1594"/>
      <c r="BH106" s="1594"/>
      <c r="BI106" s="1594"/>
      <c r="BJ106" s="1594"/>
      <c r="BK106" s="1594"/>
      <c r="BL106" s="1594"/>
      <c r="BM106" s="1594"/>
      <c r="BN106" s="1594"/>
      <c r="BO106" s="1594"/>
      <c r="BP106" s="1594"/>
      <c r="BQ106" s="1594"/>
      <c r="BR106" s="1594"/>
      <c r="BS106" s="1594"/>
      <c r="BT106" s="1594"/>
      <c r="BU106" s="1594"/>
      <c r="BV106" s="1594"/>
      <c r="BW106" s="1594"/>
      <c r="BX106" s="1594"/>
      <c r="BY106" s="1594"/>
      <c r="BZ106" s="1594"/>
      <c r="CA106" s="1594"/>
      <c r="CB106" s="1594"/>
      <c r="CC106" s="1594"/>
      <c r="CD106" s="1594"/>
      <c r="CE106" s="1594"/>
      <c r="CF106" s="1594"/>
      <c r="CG106" s="1594"/>
      <c r="CH106" s="1594"/>
      <c r="CI106" s="1594"/>
      <c r="CJ106" s="1594"/>
      <c r="CK106" s="1594"/>
      <c r="CL106" s="1594"/>
      <c r="CM106" s="1594"/>
      <c r="CN106" s="1594"/>
      <c r="CO106" s="1594"/>
      <c r="CP106" s="1594"/>
      <c r="CQ106" s="1594"/>
      <c r="CR106" s="1594"/>
      <c r="CS106" s="1594"/>
      <c r="CT106" s="1594"/>
      <c r="CU106" s="1594"/>
      <c r="CV106" s="1594"/>
      <c r="CW106" s="1594"/>
      <c r="CX106" s="1594"/>
      <c r="CY106" s="1594"/>
      <c r="CZ106" s="1594"/>
    </row>
    <row r="107" spans="1:104" ht="14.25" customHeight="1">
      <c r="A107" s="280">
        <v>21.6</v>
      </c>
      <c r="B107" s="1726" t="s">
        <v>1125</v>
      </c>
      <c r="C107" s="1726"/>
      <c r="D107" s="1726"/>
      <c r="E107" s="1726"/>
      <c r="F107" s="1726"/>
      <c r="G107" s="1726"/>
      <c r="H107" s="188"/>
      <c r="I107" s="1591"/>
      <c r="J107" s="1591"/>
      <c r="K107" s="1591"/>
      <c r="L107" s="1591"/>
      <c r="M107" s="1591"/>
      <c r="N107" s="1591"/>
      <c r="O107" s="1591"/>
      <c r="P107" s="1591"/>
      <c r="Q107" s="322"/>
      <c r="R107" s="321"/>
      <c r="S107" s="321"/>
      <c r="T107" s="321"/>
      <c r="U107" s="622"/>
      <c r="V107" s="623"/>
      <c r="W107" s="317"/>
      <c r="X107" s="317"/>
      <c r="Y107" s="317"/>
      <c r="Z107" s="317"/>
      <c r="AA107" s="1594"/>
      <c r="AB107" s="1594"/>
      <c r="AC107" s="317"/>
      <c r="AD107" s="1594"/>
      <c r="AE107" s="1594"/>
      <c r="AF107" s="1594"/>
      <c r="AG107" s="1594"/>
      <c r="AH107" s="1594"/>
      <c r="AI107" s="1594"/>
      <c r="AJ107" s="1594"/>
      <c r="AK107" s="1594"/>
      <c r="AL107" s="1594"/>
      <c r="AM107" s="1594"/>
      <c r="AN107" s="1594"/>
      <c r="AO107" s="1594"/>
      <c r="AP107" s="1594"/>
      <c r="AQ107" s="1594"/>
      <c r="AR107" s="1594"/>
      <c r="AS107" s="1594"/>
      <c r="AT107" s="1594"/>
      <c r="AU107" s="1594"/>
      <c r="AV107" s="1594"/>
      <c r="AW107" s="1594"/>
      <c r="AX107" s="1594"/>
      <c r="AY107" s="1594"/>
      <c r="AZ107" s="1594"/>
      <c r="BA107" s="1594"/>
      <c r="BB107" s="1594"/>
      <c r="BC107" s="1594"/>
      <c r="BD107" s="1594"/>
      <c r="BE107" s="1594"/>
      <c r="BF107" s="1594"/>
      <c r="BG107" s="1594"/>
      <c r="BH107" s="1594"/>
      <c r="BI107" s="1594"/>
      <c r="BJ107" s="1594"/>
      <c r="BK107" s="1594"/>
      <c r="BL107" s="1594"/>
      <c r="BM107" s="1594"/>
      <c r="BN107" s="1594"/>
      <c r="BO107" s="1594"/>
      <c r="BP107" s="1594"/>
      <c r="BQ107" s="1594"/>
      <c r="BR107" s="1594"/>
      <c r="BS107" s="1594"/>
      <c r="BT107" s="1594"/>
      <c r="BU107" s="1594"/>
      <c r="BV107" s="1594"/>
      <c r="BW107" s="1594"/>
      <c r="BX107" s="1594"/>
      <c r="BY107" s="1594"/>
      <c r="BZ107" s="1594"/>
      <c r="CA107" s="1594"/>
      <c r="CB107" s="1594"/>
      <c r="CC107" s="1594"/>
      <c r="CD107" s="1594"/>
      <c r="CE107" s="1594"/>
      <c r="CF107" s="1594"/>
      <c r="CG107" s="1594"/>
      <c r="CH107" s="1594"/>
      <c r="CI107" s="1594"/>
      <c r="CJ107" s="1594"/>
      <c r="CK107" s="1594"/>
      <c r="CL107" s="1594"/>
      <c r="CM107" s="1594"/>
      <c r="CN107" s="1594"/>
      <c r="CO107" s="1594"/>
      <c r="CP107" s="1594"/>
      <c r="CQ107" s="1594"/>
      <c r="CR107" s="1594"/>
      <c r="CS107" s="1594"/>
      <c r="CT107" s="1594"/>
      <c r="CU107" s="1594"/>
      <c r="CV107" s="1594"/>
      <c r="CW107" s="1594"/>
      <c r="CX107" s="1594"/>
      <c r="CY107" s="1594"/>
      <c r="CZ107" s="1594"/>
    </row>
    <row r="108" spans="1:104">
      <c r="A108" s="1584"/>
      <c r="B108" s="1595" t="s">
        <v>1262</v>
      </c>
      <c r="C108" s="1595"/>
      <c r="D108" s="262">
        <f>F112</f>
        <v>7535655.0500000007</v>
      </c>
      <c r="E108" s="1595"/>
      <c r="F108" s="319">
        <v>4036451</v>
      </c>
      <c r="G108" s="1595"/>
      <c r="H108" s="241"/>
      <c r="I108" s="1595"/>
      <c r="J108" s="1595"/>
      <c r="K108" s="1595"/>
      <c r="L108" s="1595"/>
      <c r="M108" s="1595"/>
      <c r="N108" s="1595"/>
      <c r="O108" s="1595"/>
      <c r="P108" s="1595"/>
      <c r="Q108" s="317">
        <f>U112</f>
        <v>2112320.17</v>
      </c>
      <c r="R108" s="1594"/>
      <c r="S108" s="1594"/>
      <c r="T108" s="1594"/>
      <c r="U108" s="621">
        <v>303596</v>
      </c>
      <c r="V108" s="499"/>
      <c r="W108" s="317"/>
      <c r="X108" s="317"/>
      <c r="Y108" s="317"/>
      <c r="Z108" s="317"/>
      <c r="AA108" s="1594"/>
      <c r="AB108" s="1594"/>
      <c r="AC108" s="317"/>
      <c r="AD108" s="1594"/>
      <c r="AE108" s="1594"/>
      <c r="AF108" s="1594"/>
      <c r="AG108" s="1594"/>
      <c r="AH108" s="1594"/>
      <c r="AI108" s="1594"/>
      <c r="AJ108" s="1594"/>
      <c r="AK108" s="1594"/>
      <c r="AL108" s="1594"/>
      <c r="AM108" s="1594"/>
      <c r="AN108" s="1594"/>
      <c r="AO108" s="1594"/>
      <c r="AP108" s="1594"/>
      <c r="AQ108" s="1594"/>
      <c r="AR108" s="1594"/>
      <c r="AS108" s="1594"/>
      <c r="AT108" s="1594"/>
      <c r="AU108" s="1594"/>
      <c r="AV108" s="1594"/>
      <c r="AW108" s="1594"/>
      <c r="AX108" s="1594"/>
      <c r="AY108" s="1594"/>
      <c r="AZ108" s="1594"/>
      <c r="BA108" s="1594"/>
      <c r="BB108" s="1594"/>
      <c r="BC108" s="1594"/>
      <c r="BD108" s="1594"/>
      <c r="BE108" s="1594"/>
      <c r="BF108" s="1594"/>
      <c r="BG108" s="1594"/>
      <c r="BH108" s="1594"/>
      <c r="BI108" s="1594"/>
      <c r="BJ108" s="1594"/>
      <c r="BK108" s="1594"/>
      <c r="BL108" s="1594"/>
      <c r="BM108" s="1594"/>
      <c r="BN108" s="1594"/>
      <c r="BO108" s="1594"/>
      <c r="BP108" s="1594"/>
      <c r="BQ108" s="1594"/>
      <c r="BR108" s="1594"/>
      <c r="BS108" s="1594"/>
      <c r="BT108" s="1594"/>
      <c r="BU108" s="1594"/>
      <c r="BV108" s="1594"/>
      <c r="BW108" s="1594"/>
      <c r="BX108" s="1594"/>
      <c r="BY108" s="1594"/>
      <c r="BZ108" s="1594"/>
      <c r="CA108" s="1594"/>
      <c r="CB108" s="1594"/>
      <c r="CC108" s="1594"/>
      <c r="CD108" s="1594"/>
      <c r="CE108" s="1594"/>
      <c r="CF108" s="1594"/>
      <c r="CG108" s="1594"/>
      <c r="CH108" s="1594"/>
      <c r="CI108" s="1594"/>
      <c r="CJ108" s="1594"/>
      <c r="CK108" s="1594"/>
      <c r="CL108" s="1594"/>
      <c r="CM108" s="1594"/>
      <c r="CN108" s="1594"/>
      <c r="CO108" s="1594"/>
      <c r="CP108" s="1594"/>
      <c r="CQ108" s="1594"/>
      <c r="CR108" s="1594"/>
      <c r="CS108" s="1594"/>
      <c r="CT108" s="1594"/>
      <c r="CU108" s="1594"/>
      <c r="CV108" s="1594"/>
      <c r="CW108" s="1594"/>
      <c r="CX108" s="1594"/>
      <c r="CY108" s="1594"/>
      <c r="CZ108" s="1594"/>
    </row>
    <row r="109" spans="1:104">
      <c r="A109" s="1584"/>
      <c r="B109" s="1595" t="s">
        <v>1259</v>
      </c>
      <c r="C109" s="1595"/>
      <c r="D109" s="331">
        <v>7130000</v>
      </c>
      <c r="E109" s="1595"/>
      <c r="F109" s="331">
        <v>11402000</v>
      </c>
      <c r="G109" s="1595"/>
      <c r="H109" s="241"/>
      <c r="I109" s="1595"/>
      <c r="J109" s="1595"/>
      <c r="K109" s="1595"/>
      <c r="L109" s="1595"/>
      <c r="M109" s="1595"/>
      <c r="N109" s="1595"/>
      <c r="O109" s="1595"/>
      <c r="P109" s="1595"/>
      <c r="Q109" s="317">
        <f>4891000+1500000</f>
        <v>6391000</v>
      </c>
      <c r="R109" s="1594"/>
      <c r="S109" s="1594"/>
      <c r="T109" s="1594"/>
      <c r="U109" s="621">
        <f>3161290.17+1000000-5680-303596</f>
        <v>3852014.17</v>
      </c>
      <c r="V109" s="499"/>
      <c r="W109" s="316" t="s">
        <v>36</v>
      </c>
      <c r="X109" s="317"/>
      <c r="Y109" s="317"/>
      <c r="Z109" s="317"/>
      <c r="AA109" s="1594"/>
      <c r="AB109" s="1594"/>
      <c r="AC109" s="317"/>
      <c r="AD109" s="1594"/>
      <c r="AE109" s="1594"/>
      <c r="AF109" s="1594"/>
      <c r="AG109" s="1594"/>
      <c r="AH109" s="1594"/>
      <c r="AI109" s="1594"/>
      <c r="AJ109" s="1594"/>
      <c r="AK109" s="1594"/>
      <c r="AL109" s="1594"/>
      <c r="AM109" s="1594"/>
      <c r="AN109" s="1594"/>
      <c r="AO109" s="1594"/>
      <c r="AP109" s="1594"/>
      <c r="AQ109" s="1594"/>
      <c r="AR109" s="1594"/>
      <c r="AS109" s="1594"/>
      <c r="AT109" s="1594"/>
      <c r="AU109" s="1594"/>
      <c r="AV109" s="1594"/>
      <c r="AW109" s="1594"/>
      <c r="AX109" s="1594"/>
      <c r="AY109" s="1594"/>
      <c r="AZ109" s="1594"/>
      <c r="BA109" s="1594"/>
      <c r="BB109" s="1594"/>
      <c r="BC109" s="1594"/>
      <c r="BD109" s="1594"/>
      <c r="BE109" s="1594"/>
      <c r="BF109" s="1594"/>
      <c r="BG109" s="1594"/>
      <c r="BH109" s="1594"/>
      <c r="BI109" s="1594"/>
      <c r="BJ109" s="1594"/>
      <c r="BK109" s="1594"/>
      <c r="BL109" s="1594"/>
      <c r="BM109" s="1594"/>
      <c r="BN109" s="1594"/>
      <c r="BO109" s="1594"/>
      <c r="BP109" s="1594"/>
      <c r="BQ109" s="1594"/>
      <c r="BR109" s="1594"/>
      <c r="BS109" s="1594"/>
      <c r="BT109" s="1594"/>
      <c r="BU109" s="1594"/>
      <c r="BV109" s="1594"/>
      <c r="BW109" s="1594"/>
      <c r="BX109" s="1594"/>
      <c r="BY109" s="1594"/>
      <c r="BZ109" s="1594"/>
      <c r="CA109" s="1594"/>
      <c r="CB109" s="1594"/>
      <c r="CC109" s="1594"/>
      <c r="CD109" s="1594"/>
      <c r="CE109" s="1594"/>
      <c r="CF109" s="1594"/>
      <c r="CG109" s="1594"/>
      <c r="CH109" s="1594"/>
      <c r="CI109" s="1594"/>
      <c r="CJ109" s="1594"/>
      <c r="CK109" s="1594"/>
      <c r="CL109" s="1594"/>
      <c r="CM109" s="1594"/>
      <c r="CN109" s="1594"/>
      <c r="CO109" s="1594"/>
      <c r="CP109" s="1594"/>
      <c r="CQ109" s="1594"/>
      <c r="CR109" s="1594"/>
      <c r="CS109" s="1594"/>
      <c r="CT109" s="1594"/>
      <c r="CU109" s="1594"/>
      <c r="CV109" s="1594"/>
      <c r="CW109" s="1594"/>
      <c r="CX109" s="1594"/>
      <c r="CY109" s="1594"/>
      <c r="CZ109" s="1594"/>
    </row>
    <row r="110" spans="1:104">
      <c r="A110" s="1584"/>
      <c r="B110" s="1595" t="s">
        <v>1260</v>
      </c>
      <c r="C110" s="1595"/>
      <c r="D110" s="327">
        <v>-8552027.7699999996</v>
      </c>
      <c r="E110" s="1595"/>
      <c r="F110" s="327">
        <f>-5905737.27-1441055.51-275558.37-280444.8</f>
        <v>-7902795.9499999993</v>
      </c>
      <c r="G110" s="1595"/>
      <c r="H110" s="241"/>
      <c r="I110" s="1595"/>
      <c r="J110" s="1595"/>
      <c r="K110" s="1595"/>
      <c r="L110" s="1595"/>
      <c r="M110" s="1595"/>
      <c r="N110" s="1595"/>
      <c r="O110" s="1595"/>
      <c r="P110" s="1595"/>
      <c r="Q110" s="317">
        <v>-4466868.88</v>
      </c>
      <c r="R110" s="1594"/>
      <c r="S110" s="1594"/>
      <c r="T110" s="1594"/>
      <c r="U110" s="227">
        <v>-2043290</v>
      </c>
      <c r="V110" s="499"/>
      <c r="W110" s="317"/>
      <c r="X110" s="317"/>
      <c r="Y110" s="317"/>
      <c r="Z110" s="317"/>
      <c r="AA110" s="1594"/>
      <c r="AB110" s="1594"/>
      <c r="AC110" s="317"/>
      <c r="AD110" s="1594"/>
      <c r="AE110" s="1594"/>
      <c r="AF110" s="1594"/>
      <c r="AG110" s="1594"/>
      <c r="AH110" s="1594"/>
      <c r="AI110" s="1594"/>
      <c r="AJ110" s="1594"/>
      <c r="AK110" s="1594"/>
      <c r="AL110" s="1594"/>
      <c r="AM110" s="1594"/>
      <c r="AN110" s="1594"/>
      <c r="AO110" s="1594"/>
      <c r="AP110" s="1594"/>
      <c r="AQ110" s="1594"/>
      <c r="AR110" s="1594"/>
      <c r="AS110" s="1594"/>
      <c r="AT110" s="1594"/>
      <c r="AU110" s="1594"/>
      <c r="AV110" s="1594"/>
      <c r="AW110" s="1594"/>
      <c r="AX110" s="1594"/>
      <c r="AY110" s="1594"/>
      <c r="AZ110" s="1594"/>
      <c r="BA110" s="1594"/>
      <c r="BB110" s="1594"/>
      <c r="BC110" s="1594"/>
      <c r="BD110" s="1594"/>
      <c r="BE110" s="1594"/>
      <c r="BF110" s="1594"/>
      <c r="BG110" s="1594"/>
      <c r="BH110" s="1594"/>
      <c r="BI110" s="1594"/>
      <c r="BJ110" s="1594"/>
      <c r="BK110" s="1594"/>
      <c r="BL110" s="1594"/>
      <c r="BM110" s="1594"/>
      <c r="BN110" s="1594"/>
      <c r="BO110" s="1594"/>
      <c r="BP110" s="1594"/>
      <c r="BQ110" s="1594"/>
      <c r="BR110" s="1594"/>
      <c r="BS110" s="1594"/>
      <c r="BT110" s="1594"/>
      <c r="BU110" s="1594"/>
      <c r="BV110" s="1594"/>
      <c r="BW110" s="1594"/>
      <c r="BX110" s="1594"/>
      <c r="BY110" s="1594"/>
      <c r="BZ110" s="1594"/>
      <c r="CA110" s="1594"/>
      <c r="CB110" s="1594"/>
      <c r="CC110" s="1594"/>
      <c r="CD110" s="1594"/>
      <c r="CE110" s="1594"/>
      <c r="CF110" s="1594"/>
      <c r="CG110" s="1594"/>
      <c r="CH110" s="1594"/>
      <c r="CI110" s="1594"/>
      <c r="CJ110" s="1594"/>
      <c r="CK110" s="1594"/>
      <c r="CL110" s="1594"/>
      <c r="CM110" s="1594"/>
      <c r="CN110" s="1594"/>
      <c r="CO110" s="1594"/>
      <c r="CP110" s="1594"/>
      <c r="CQ110" s="1594"/>
      <c r="CR110" s="1594"/>
      <c r="CS110" s="1594"/>
      <c r="CT110" s="1594"/>
      <c r="CU110" s="1594"/>
      <c r="CV110" s="1594"/>
      <c r="CW110" s="1594"/>
      <c r="CX110" s="1594"/>
      <c r="CY110" s="1594"/>
      <c r="CZ110" s="1594"/>
    </row>
    <row r="111" spans="1:104">
      <c r="A111" s="1584"/>
      <c r="B111" s="1595"/>
      <c r="C111" s="1595"/>
      <c r="D111" s="325"/>
      <c r="E111" s="1595"/>
      <c r="F111" s="325"/>
      <c r="G111" s="1595"/>
      <c r="H111" s="241"/>
      <c r="I111" s="1595"/>
      <c r="J111" s="1595"/>
      <c r="K111" s="1595"/>
      <c r="L111" s="1595"/>
      <c r="M111" s="1595"/>
      <c r="N111" s="1595"/>
      <c r="O111" s="1595"/>
      <c r="P111" s="1595"/>
      <c r="Q111" s="317"/>
      <c r="R111" s="1594"/>
      <c r="S111" s="1594"/>
      <c r="T111" s="1594"/>
      <c r="U111" s="227"/>
      <c r="V111" s="499"/>
      <c r="W111" s="317"/>
      <c r="X111" s="317"/>
      <c r="Y111" s="317"/>
      <c r="Z111" s="317"/>
      <c r="AA111" s="1594"/>
      <c r="AB111" s="1594"/>
      <c r="AC111" s="317"/>
      <c r="AD111" s="1594"/>
      <c r="AE111" s="1594"/>
      <c r="AF111" s="1594"/>
      <c r="AG111" s="1594"/>
      <c r="AH111" s="1594"/>
      <c r="AI111" s="1594"/>
      <c r="AJ111" s="1594"/>
      <c r="AK111" s="1594"/>
      <c r="AL111" s="1594"/>
      <c r="AM111" s="1594"/>
      <c r="AN111" s="1594"/>
      <c r="AO111" s="1594"/>
      <c r="AP111" s="1594"/>
      <c r="AQ111" s="1594"/>
      <c r="AR111" s="1594"/>
      <c r="AS111" s="1594"/>
      <c r="AT111" s="1594"/>
      <c r="AU111" s="1594"/>
      <c r="AV111" s="1594"/>
      <c r="AW111" s="1594"/>
      <c r="AX111" s="1594"/>
      <c r="AY111" s="1594"/>
      <c r="AZ111" s="1594"/>
      <c r="BA111" s="1594"/>
      <c r="BB111" s="1594"/>
      <c r="BC111" s="1594"/>
      <c r="BD111" s="1594"/>
      <c r="BE111" s="1594"/>
      <c r="BF111" s="1594"/>
      <c r="BG111" s="1594"/>
      <c r="BH111" s="1594"/>
      <c r="BI111" s="1594"/>
      <c r="BJ111" s="1594"/>
      <c r="BK111" s="1594"/>
      <c r="BL111" s="1594"/>
      <c r="BM111" s="1594"/>
      <c r="BN111" s="1594"/>
      <c r="BO111" s="1594"/>
      <c r="BP111" s="1594"/>
      <c r="BQ111" s="1594"/>
      <c r="BR111" s="1594"/>
      <c r="BS111" s="1594"/>
      <c r="BT111" s="1594"/>
      <c r="BU111" s="1594"/>
      <c r="BV111" s="1594"/>
      <c r="BW111" s="1594"/>
      <c r="BX111" s="1594"/>
      <c r="BY111" s="1594"/>
      <c r="BZ111" s="1594"/>
      <c r="CA111" s="1594"/>
      <c r="CB111" s="1594"/>
      <c r="CC111" s="1594"/>
      <c r="CD111" s="1594"/>
      <c r="CE111" s="1594"/>
      <c r="CF111" s="1594"/>
      <c r="CG111" s="1594"/>
      <c r="CH111" s="1594"/>
      <c r="CI111" s="1594"/>
      <c r="CJ111" s="1594"/>
      <c r="CK111" s="1594"/>
      <c r="CL111" s="1594"/>
      <c r="CM111" s="1594"/>
      <c r="CN111" s="1594"/>
      <c r="CO111" s="1594"/>
      <c r="CP111" s="1594"/>
      <c r="CQ111" s="1594"/>
      <c r="CR111" s="1594"/>
      <c r="CS111" s="1594"/>
      <c r="CT111" s="1594"/>
      <c r="CU111" s="1594"/>
      <c r="CV111" s="1594"/>
      <c r="CW111" s="1594"/>
      <c r="CX111" s="1594"/>
      <c r="CY111" s="1594"/>
      <c r="CZ111" s="1594"/>
    </row>
    <row r="112" spans="1:104" ht="13.5" thickBot="1">
      <c r="A112" s="1584"/>
      <c r="B112" s="142" t="s">
        <v>2439</v>
      </c>
      <c r="C112" s="142"/>
      <c r="D112" s="143">
        <f>SUM(D108:D110)</f>
        <v>6113627.2800000012</v>
      </c>
      <c r="E112" s="142"/>
      <c r="F112" s="143">
        <f>SUM(F108:F110)</f>
        <v>7535655.0500000007</v>
      </c>
      <c r="G112" s="1595"/>
      <c r="H112" s="241"/>
      <c r="I112" s="1595"/>
      <c r="J112" s="1595"/>
      <c r="K112" s="1595"/>
      <c r="L112" s="1595"/>
      <c r="M112" s="1595"/>
      <c r="N112" s="1595"/>
      <c r="O112" s="1595"/>
      <c r="P112" s="1595"/>
      <c r="Q112" s="143">
        <f>SUM(Q108:Q110)</f>
        <v>4036451.29</v>
      </c>
      <c r="R112" s="1594"/>
      <c r="S112" s="1594"/>
      <c r="T112" s="1594"/>
      <c r="U112" s="246">
        <f>SUM(U108:U110)</f>
        <v>2112320.17</v>
      </c>
      <c r="V112" s="499"/>
      <c r="W112" s="317"/>
      <c r="X112" s="317"/>
      <c r="Y112" s="317"/>
      <c r="Z112" s="317"/>
      <c r="AA112" s="1594"/>
      <c r="AB112" s="1594"/>
      <c r="AC112" s="317"/>
      <c r="AD112" s="1594"/>
      <c r="AE112" s="1594"/>
      <c r="AF112" s="1594"/>
      <c r="AG112" s="1594"/>
      <c r="AH112" s="1594"/>
      <c r="AI112" s="1594"/>
      <c r="AJ112" s="1594"/>
      <c r="AK112" s="1594"/>
      <c r="AL112" s="1594"/>
      <c r="AM112" s="1594"/>
      <c r="AN112" s="1594"/>
      <c r="AO112" s="1594"/>
      <c r="AP112" s="1594"/>
      <c r="AQ112" s="1594"/>
      <c r="AR112" s="1594"/>
      <c r="AS112" s="1594"/>
      <c r="AT112" s="1594"/>
      <c r="AU112" s="1594"/>
      <c r="AV112" s="1594"/>
      <c r="AW112" s="1594"/>
      <c r="AX112" s="1594"/>
      <c r="AY112" s="1594"/>
      <c r="AZ112" s="1594"/>
      <c r="BA112" s="1594"/>
      <c r="BB112" s="1594"/>
      <c r="BC112" s="1594"/>
      <c r="BD112" s="1594"/>
      <c r="BE112" s="1594"/>
      <c r="BF112" s="1594"/>
      <c r="BG112" s="1594"/>
      <c r="BH112" s="1594"/>
      <c r="BI112" s="1594"/>
      <c r="BJ112" s="1594"/>
      <c r="BK112" s="1594"/>
      <c r="BL112" s="1594"/>
      <c r="BM112" s="1594"/>
      <c r="BN112" s="1594"/>
      <c r="BO112" s="1594"/>
      <c r="BP112" s="1594"/>
      <c r="BQ112" s="1594"/>
      <c r="BR112" s="1594"/>
      <c r="BS112" s="1594"/>
      <c r="BT112" s="1594"/>
      <c r="BU112" s="1594"/>
      <c r="BV112" s="1594"/>
      <c r="BW112" s="1594"/>
      <c r="BX112" s="1594"/>
      <c r="BY112" s="1594"/>
      <c r="BZ112" s="1594"/>
      <c r="CA112" s="1594"/>
      <c r="CB112" s="1594"/>
      <c r="CC112" s="1594"/>
      <c r="CD112" s="1594"/>
      <c r="CE112" s="1594"/>
      <c r="CF112" s="1594"/>
      <c r="CG112" s="1594"/>
      <c r="CH112" s="1594"/>
      <c r="CI112" s="1594"/>
      <c r="CJ112" s="1594"/>
      <c r="CK112" s="1594"/>
      <c r="CL112" s="1594"/>
      <c r="CM112" s="1594"/>
      <c r="CN112" s="1594"/>
      <c r="CO112" s="1594"/>
      <c r="CP112" s="1594"/>
      <c r="CQ112" s="1594"/>
      <c r="CR112" s="1594"/>
      <c r="CS112" s="1594"/>
      <c r="CT112" s="1594"/>
      <c r="CU112" s="1594"/>
      <c r="CV112" s="1594"/>
      <c r="CW112" s="1594"/>
      <c r="CX112" s="1594"/>
      <c r="CY112" s="1594"/>
      <c r="CZ112" s="1594"/>
    </row>
    <row r="113" spans="1:104" ht="13.5" thickTop="1">
      <c r="A113" s="1584"/>
      <c r="B113" s="1595"/>
      <c r="C113" s="1595"/>
      <c r="D113" s="325"/>
      <c r="E113" s="1595"/>
      <c r="F113" s="325"/>
      <c r="G113" s="1595"/>
      <c r="H113" s="241"/>
      <c r="I113" s="1595"/>
      <c r="J113" s="1595"/>
      <c r="K113" s="1595"/>
      <c r="L113" s="1595"/>
      <c r="M113" s="1595"/>
      <c r="N113" s="1595"/>
      <c r="O113" s="1595"/>
      <c r="P113" s="1595"/>
      <c r="Q113" s="317"/>
      <c r="R113" s="1594"/>
      <c r="S113" s="1594"/>
      <c r="T113" s="1594"/>
      <c r="U113" s="621"/>
      <c r="V113" s="499"/>
      <c r="W113" s="317"/>
      <c r="X113" s="317"/>
      <c r="Y113" s="317"/>
      <c r="Z113" s="317"/>
      <c r="AA113" s="1594"/>
      <c r="AB113" s="1594"/>
      <c r="AC113" s="317"/>
      <c r="AD113" s="1594"/>
      <c r="AE113" s="1594"/>
      <c r="AF113" s="1594"/>
      <c r="AG113" s="1594"/>
      <c r="AH113" s="1594"/>
      <c r="AI113" s="1594"/>
      <c r="AJ113" s="1594"/>
      <c r="AK113" s="1594"/>
      <c r="AL113" s="1594"/>
      <c r="AM113" s="1594"/>
      <c r="AN113" s="1594"/>
      <c r="AO113" s="1594"/>
      <c r="AP113" s="1594"/>
      <c r="AQ113" s="1594"/>
      <c r="AR113" s="1594"/>
      <c r="AS113" s="1594"/>
      <c r="AT113" s="1594"/>
      <c r="AU113" s="1594"/>
      <c r="AV113" s="1594"/>
      <c r="AW113" s="1594"/>
      <c r="AX113" s="1594"/>
      <c r="AY113" s="1594"/>
      <c r="AZ113" s="1594"/>
      <c r="BA113" s="1594"/>
      <c r="BB113" s="1594"/>
      <c r="BC113" s="1594"/>
      <c r="BD113" s="1594"/>
      <c r="BE113" s="1594"/>
      <c r="BF113" s="1594"/>
      <c r="BG113" s="1594"/>
      <c r="BH113" s="1594"/>
      <c r="BI113" s="1594"/>
      <c r="BJ113" s="1594"/>
      <c r="BK113" s="1594"/>
      <c r="BL113" s="1594"/>
      <c r="BM113" s="1594"/>
      <c r="BN113" s="1594"/>
      <c r="BO113" s="1594"/>
      <c r="BP113" s="1594"/>
      <c r="BQ113" s="1594"/>
      <c r="BR113" s="1594"/>
      <c r="BS113" s="1594"/>
      <c r="BT113" s="1594"/>
      <c r="BU113" s="1594"/>
      <c r="BV113" s="1594"/>
      <c r="BW113" s="1594"/>
      <c r="BX113" s="1594"/>
      <c r="BY113" s="1594"/>
      <c r="BZ113" s="1594"/>
      <c r="CA113" s="1594"/>
      <c r="CB113" s="1594"/>
      <c r="CC113" s="1594"/>
      <c r="CD113" s="1594"/>
      <c r="CE113" s="1594"/>
      <c r="CF113" s="1594"/>
      <c r="CG113" s="1594"/>
      <c r="CH113" s="1594"/>
      <c r="CI113" s="1594"/>
      <c r="CJ113" s="1594"/>
      <c r="CK113" s="1594"/>
      <c r="CL113" s="1594"/>
      <c r="CM113" s="1594"/>
      <c r="CN113" s="1594"/>
      <c r="CO113" s="1594"/>
      <c r="CP113" s="1594"/>
      <c r="CQ113" s="1594"/>
      <c r="CR113" s="1594"/>
      <c r="CS113" s="1594"/>
      <c r="CT113" s="1594"/>
      <c r="CU113" s="1594"/>
      <c r="CV113" s="1594"/>
      <c r="CW113" s="1594"/>
      <c r="CX113" s="1594"/>
      <c r="CY113" s="1594"/>
      <c r="CZ113" s="1594"/>
    </row>
    <row r="114" spans="1:104" s="647" customFormat="1" ht="51">
      <c r="A114" s="281"/>
      <c r="B114" s="211" t="s">
        <v>1179</v>
      </c>
      <c r="C114" s="211"/>
      <c r="D114" s="328"/>
      <c r="E114" s="211"/>
      <c r="F114" s="328"/>
      <c r="G114" s="211"/>
      <c r="H114" s="329"/>
      <c r="I114" s="211"/>
      <c r="J114" s="211"/>
      <c r="K114" s="211"/>
      <c r="L114" s="211"/>
      <c r="M114" s="211"/>
      <c r="N114" s="211"/>
      <c r="O114" s="211"/>
      <c r="P114" s="211"/>
      <c r="Q114" s="211"/>
      <c r="R114" s="211"/>
      <c r="S114" s="211"/>
      <c r="T114" s="211"/>
      <c r="U114" s="645"/>
      <c r="V114" s="646"/>
      <c r="W114" s="328"/>
      <c r="X114" s="328"/>
      <c r="Y114" s="328"/>
      <c r="Z114" s="328"/>
      <c r="AA114" s="211"/>
      <c r="AB114" s="211"/>
      <c r="AC114" s="328"/>
      <c r="AD114" s="211"/>
      <c r="AE114" s="211"/>
      <c r="AF114" s="211"/>
      <c r="AG114" s="211"/>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c r="BI114" s="211"/>
      <c r="BJ114" s="211"/>
      <c r="BK114" s="211"/>
      <c r="BL114" s="211"/>
      <c r="BM114" s="211"/>
      <c r="BN114" s="211"/>
      <c r="BO114" s="211"/>
      <c r="BP114" s="211"/>
      <c r="BQ114" s="211"/>
      <c r="BR114" s="211"/>
      <c r="BS114" s="211"/>
      <c r="BT114" s="211"/>
      <c r="BU114" s="211"/>
      <c r="BV114" s="211"/>
      <c r="BW114" s="211"/>
      <c r="BX114" s="211"/>
      <c r="BY114" s="211"/>
      <c r="BZ114" s="211"/>
      <c r="CA114" s="211"/>
      <c r="CB114" s="211"/>
      <c r="CC114" s="211"/>
      <c r="CD114" s="211"/>
      <c r="CE114" s="211"/>
      <c r="CF114" s="211"/>
      <c r="CG114" s="211"/>
      <c r="CH114" s="211"/>
      <c r="CI114" s="211"/>
      <c r="CJ114" s="211"/>
      <c r="CK114" s="211"/>
      <c r="CL114" s="211"/>
      <c r="CM114" s="211"/>
      <c r="CN114" s="211"/>
      <c r="CO114" s="211"/>
      <c r="CP114" s="211"/>
      <c r="CQ114" s="211"/>
      <c r="CR114" s="211"/>
      <c r="CS114" s="211"/>
      <c r="CT114" s="211"/>
      <c r="CU114" s="211"/>
      <c r="CV114" s="211"/>
      <c r="CW114" s="211"/>
      <c r="CX114" s="211"/>
      <c r="CY114" s="211"/>
      <c r="CZ114" s="211"/>
    </row>
    <row r="115" spans="1:104">
      <c r="A115" s="1584"/>
      <c r="B115" s="1594"/>
      <c r="C115" s="1594"/>
      <c r="D115" s="317"/>
      <c r="E115" s="1594"/>
      <c r="F115" s="317"/>
      <c r="G115" s="1594"/>
      <c r="Q115" s="317"/>
      <c r="R115" s="1594"/>
      <c r="S115" s="1594"/>
      <c r="T115" s="1594"/>
      <c r="U115" s="621"/>
      <c r="V115" s="499"/>
      <c r="W115" s="317"/>
      <c r="X115" s="317"/>
      <c r="Y115" s="317"/>
      <c r="Z115" s="317"/>
      <c r="AA115" s="1594"/>
      <c r="AB115" s="1594"/>
      <c r="AC115" s="317"/>
      <c r="AD115" s="1594"/>
      <c r="AE115" s="1594"/>
      <c r="AF115" s="1594"/>
      <c r="AG115" s="1594"/>
      <c r="AH115" s="1594"/>
      <c r="AI115" s="1594"/>
      <c r="AJ115" s="1594"/>
      <c r="AK115" s="1594"/>
      <c r="AL115" s="1594"/>
      <c r="AM115" s="1594"/>
      <c r="AN115" s="1594"/>
      <c r="AO115" s="1594"/>
      <c r="AP115" s="1594"/>
      <c r="AQ115" s="1594"/>
      <c r="AR115" s="1594"/>
      <c r="AS115" s="1594"/>
      <c r="AT115" s="1594"/>
      <c r="AU115" s="1594"/>
      <c r="AV115" s="1594"/>
      <c r="AW115" s="1594"/>
      <c r="AX115" s="1594"/>
      <c r="AY115" s="1594"/>
      <c r="AZ115" s="1594"/>
      <c r="BA115" s="1594"/>
      <c r="BB115" s="1594"/>
      <c r="BC115" s="1594"/>
      <c r="BD115" s="1594"/>
      <c r="BE115" s="1594"/>
      <c r="BF115" s="1594"/>
      <c r="BG115" s="1594"/>
      <c r="BH115" s="1594"/>
      <c r="BI115" s="1594"/>
      <c r="BJ115" s="1594"/>
      <c r="BK115" s="1594"/>
      <c r="BL115" s="1594"/>
      <c r="BM115" s="1594"/>
      <c r="BN115" s="1594"/>
      <c r="BO115" s="1594"/>
      <c r="BP115" s="1594"/>
      <c r="BQ115" s="1594"/>
      <c r="BR115" s="1594"/>
      <c r="BS115" s="1594"/>
      <c r="BT115" s="1594"/>
      <c r="BU115" s="1594"/>
      <c r="BV115" s="1594"/>
      <c r="BW115" s="1594"/>
      <c r="BX115" s="1594"/>
      <c r="BY115" s="1594"/>
      <c r="BZ115" s="1594"/>
      <c r="CA115" s="1594"/>
      <c r="CB115" s="1594"/>
      <c r="CC115" s="1594"/>
      <c r="CD115" s="1594"/>
      <c r="CE115" s="1594"/>
      <c r="CF115" s="1594"/>
      <c r="CG115" s="1594"/>
      <c r="CH115" s="1594"/>
      <c r="CI115" s="1594"/>
      <c r="CJ115" s="1594"/>
      <c r="CK115" s="1594"/>
      <c r="CL115" s="1594"/>
      <c r="CM115" s="1594"/>
      <c r="CN115" s="1594"/>
      <c r="CO115" s="1594"/>
      <c r="CP115" s="1594"/>
      <c r="CQ115" s="1594"/>
      <c r="CR115" s="1594"/>
      <c r="CS115" s="1594"/>
      <c r="CT115" s="1594"/>
      <c r="CU115" s="1594"/>
      <c r="CV115" s="1594"/>
      <c r="CW115" s="1594"/>
      <c r="CX115" s="1594"/>
      <c r="CY115" s="1594"/>
      <c r="CZ115" s="1594"/>
    </row>
    <row r="116" spans="1:104" ht="14.25" customHeight="1">
      <c r="A116" s="1584">
        <v>21.7</v>
      </c>
      <c r="B116" s="1727" t="s">
        <v>1180</v>
      </c>
      <c r="C116" s="1727"/>
      <c r="D116" s="1727"/>
      <c r="E116" s="1727"/>
      <c r="F116" s="1727"/>
      <c r="G116" s="1727"/>
      <c r="H116" s="188"/>
      <c r="I116" s="1591"/>
      <c r="J116" s="1591"/>
      <c r="K116" s="1591"/>
      <c r="L116" s="1591"/>
      <c r="M116" s="1591"/>
      <c r="N116" s="1591"/>
      <c r="O116" s="1591"/>
      <c r="P116" s="1591"/>
      <c r="Q116" s="317"/>
      <c r="R116" s="1594"/>
      <c r="S116" s="1594"/>
      <c r="T116" s="1594"/>
      <c r="U116" s="621"/>
      <c r="V116" s="499"/>
      <c r="W116" s="317"/>
      <c r="X116" s="317"/>
      <c r="Y116" s="317"/>
      <c r="Z116" s="317"/>
      <c r="AA116" s="1594"/>
      <c r="AB116" s="1594"/>
      <c r="AC116" s="317"/>
      <c r="AD116" s="1594"/>
      <c r="AE116" s="1594"/>
      <c r="AF116" s="1594"/>
      <c r="AG116" s="1594"/>
      <c r="AH116" s="1594"/>
      <c r="AI116" s="1594"/>
      <c r="AJ116" s="1594"/>
      <c r="AK116" s="1594"/>
      <c r="AL116" s="1594"/>
      <c r="AM116" s="1594"/>
      <c r="AN116" s="1594"/>
      <c r="AO116" s="1594"/>
      <c r="AP116" s="1594"/>
      <c r="AQ116" s="1594"/>
      <c r="AR116" s="1594"/>
      <c r="AS116" s="1594"/>
      <c r="AT116" s="1594"/>
      <c r="AU116" s="1594"/>
      <c r="AV116" s="1594"/>
      <c r="AW116" s="1594"/>
      <c r="AX116" s="1594"/>
      <c r="AY116" s="1594"/>
      <c r="AZ116" s="1594"/>
      <c r="BA116" s="1594"/>
      <c r="BB116" s="1594"/>
      <c r="BC116" s="1594"/>
      <c r="BD116" s="1594"/>
      <c r="BE116" s="1594"/>
      <c r="BF116" s="1594"/>
      <c r="BG116" s="1594"/>
      <c r="BH116" s="1594"/>
      <c r="BI116" s="1594"/>
      <c r="BJ116" s="1594"/>
      <c r="BK116" s="1594"/>
      <c r="BL116" s="1594"/>
      <c r="BM116" s="1594"/>
      <c r="BN116" s="1594"/>
      <c r="BO116" s="1594"/>
      <c r="BP116" s="1594"/>
      <c r="BQ116" s="1594"/>
      <c r="BR116" s="1594"/>
      <c r="BS116" s="1594"/>
      <c r="BT116" s="1594"/>
      <c r="BU116" s="1594"/>
      <c r="BV116" s="1594"/>
      <c r="BW116" s="1594"/>
      <c r="BX116" s="1594"/>
      <c r="BY116" s="1594"/>
      <c r="BZ116" s="1594"/>
      <c r="CA116" s="1594"/>
      <c r="CB116" s="1594"/>
      <c r="CC116" s="1594"/>
      <c r="CD116" s="1594"/>
      <c r="CE116" s="1594"/>
      <c r="CF116" s="1594"/>
      <c r="CG116" s="1594"/>
      <c r="CH116" s="1594"/>
      <c r="CI116" s="1594"/>
      <c r="CJ116" s="1594"/>
      <c r="CK116" s="1594"/>
      <c r="CL116" s="1594"/>
      <c r="CM116" s="1594"/>
      <c r="CN116" s="1594"/>
      <c r="CO116" s="1594"/>
      <c r="CP116" s="1594"/>
      <c r="CQ116" s="1594"/>
      <c r="CR116" s="1594"/>
      <c r="CS116" s="1594"/>
      <c r="CT116" s="1594"/>
      <c r="CU116" s="1594"/>
      <c r="CV116" s="1594"/>
      <c r="CW116" s="1594"/>
      <c r="CX116" s="1594"/>
      <c r="CY116" s="1594"/>
      <c r="CZ116" s="1594"/>
    </row>
    <row r="117" spans="1:104" ht="14.25" customHeight="1">
      <c r="A117" s="1584"/>
      <c r="B117" s="1591"/>
      <c r="C117" s="1591"/>
      <c r="D117" s="146"/>
      <c r="E117" s="1591"/>
      <c r="F117" s="1591"/>
      <c r="G117" s="1591"/>
      <c r="H117" s="188"/>
      <c r="I117" s="1591"/>
      <c r="J117" s="1591"/>
      <c r="K117" s="1591"/>
      <c r="L117" s="1591"/>
      <c r="M117" s="1591"/>
      <c r="N117" s="1591"/>
      <c r="O117" s="1591"/>
      <c r="P117" s="1591"/>
      <c r="Q117" s="317"/>
      <c r="R117" s="1594"/>
      <c r="S117" s="1594"/>
      <c r="T117" s="1594"/>
      <c r="U117" s="621"/>
      <c r="V117" s="499"/>
      <c r="W117" s="317"/>
      <c r="X117" s="317"/>
      <c r="Y117" s="317"/>
      <c r="Z117" s="317"/>
      <c r="AA117" s="1594"/>
      <c r="AB117" s="1594"/>
      <c r="AC117" s="317"/>
      <c r="AD117" s="1594"/>
      <c r="AE117" s="1594"/>
      <c r="AF117" s="1594"/>
      <c r="AG117" s="1594"/>
      <c r="AH117" s="1594"/>
      <c r="AI117" s="1594"/>
      <c r="AJ117" s="1594"/>
      <c r="AK117" s="1594"/>
      <c r="AL117" s="1594"/>
      <c r="AM117" s="1594"/>
      <c r="AN117" s="1594"/>
      <c r="AO117" s="1594"/>
      <c r="AP117" s="1594"/>
      <c r="AQ117" s="1594"/>
      <c r="AR117" s="1594"/>
      <c r="AS117" s="1594"/>
      <c r="AT117" s="1594"/>
      <c r="AU117" s="1594"/>
      <c r="AV117" s="1594"/>
      <c r="AW117" s="1594"/>
      <c r="AX117" s="1594"/>
      <c r="AY117" s="1594"/>
      <c r="AZ117" s="1594"/>
      <c r="BA117" s="1594"/>
      <c r="BB117" s="1594"/>
      <c r="BC117" s="1594"/>
      <c r="BD117" s="1594"/>
      <c r="BE117" s="1594"/>
      <c r="BF117" s="1594"/>
      <c r="BG117" s="1594"/>
      <c r="BH117" s="1594"/>
      <c r="BI117" s="1594"/>
      <c r="BJ117" s="1594"/>
      <c r="BK117" s="1594"/>
      <c r="BL117" s="1594"/>
      <c r="BM117" s="1594"/>
      <c r="BN117" s="1594"/>
      <c r="BO117" s="1594"/>
      <c r="BP117" s="1594"/>
      <c r="BQ117" s="1594"/>
      <c r="BR117" s="1594"/>
      <c r="BS117" s="1594"/>
      <c r="BT117" s="1594"/>
      <c r="BU117" s="1594"/>
      <c r="BV117" s="1594"/>
      <c r="BW117" s="1594"/>
      <c r="BX117" s="1594"/>
      <c r="BY117" s="1594"/>
      <c r="BZ117" s="1594"/>
      <c r="CA117" s="1594"/>
      <c r="CB117" s="1594"/>
      <c r="CC117" s="1594"/>
      <c r="CD117" s="1594"/>
      <c r="CE117" s="1594"/>
      <c r="CF117" s="1594"/>
      <c r="CG117" s="1594"/>
      <c r="CH117" s="1594"/>
      <c r="CI117" s="1594"/>
      <c r="CJ117" s="1594"/>
      <c r="CK117" s="1594"/>
      <c r="CL117" s="1594"/>
      <c r="CM117" s="1594"/>
      <c r="CN117" s="1594"/>
      <c r="CO117" s="1594"/>
      <c r="CP117" s="1594"/>
      <c r="CQ117" s="1594"/>
      <c r="CR117" s="1594"/>
      <c r="CS117" s="1594"/>
      <c r="CT117" s="1594"/>
      <c r="CU117" s="1594"/>
      <c r="CV117" s="1594"/>
      <c r="CW117" s="1594"/>
      <c r="CX117" s="1594"/>
      <c r="CY117" s="1594"/>
      <c r="CZ117" s="1594"/>
    </row>
    <row r="118" spans="1:104" ht="14.25" customHeight="1">
      <c r="A118" s="1584"/>
      <c r="B118" s="1595" t="s">
        <v>1262</v>
      </c>
      <c r="C118" s="1591"/>
      <c r="D118" s="146">
        <f>F122</f>
        <v>600000</v>
      </c>
      <c r="E118" s="1591"/>
      <c r="F118" s="1591"/>
      <c r="G118" s="1591"/>
      <c r="H118" s="188"/>
      <c r="I118" s="1591"/>
      <c r="J118" s="1591"/>
      <c r="K118" s="1591"/>
      <c r="L118" s="1591"/>
      <c r="M118" s="1591"/>
      <c r="N118" s="1591"/>
      <c r="O118" s="1591"/>
      <c r="P118" s="1591"/>
      <c r="Q118" s="317"/>
      <c r="R118" s="1594"/>
      <c r="S118" s="1594"/>
      <c r="T118" s="1594"/>
      <c r="U118" s="621"/>
      <c r="V118" s="499"/>
      <c r="W118" s="317"/>
      <c r="X118" s="317"/>
      <c r="Y118" s="317"/>
      <c r="Z118" s="317"/>
      <c r="AA118" s="1594"/>
      <c r="AB118" s="1594"/>
      <c r="AC118" s="317"/>
      <c r="AD118" s="1594"/>
      <c r="AE118" s="1594"/>
      <c r="AF118" s="1594"/>
      <c r="AG118" s="1594"/>
      <c r="AH118" s="1594"/>
      <c r="AI118" s="1594"/>
      <c r="AJ118" s="1594"/>
      <c r="AK118" s="1594"/>
      <c r="AL118" s="1594"/>
      <c r="AM118" s="1594"/>
      <c r="AN118" s="1594"/>
      <c r="AO118" s="1594"/>
      <c r="AP118" s="1594"/>
      <c r="AQ118" s="1594"/>
      <c r="AR118" s="1594"/>
      <c r="AS118" s="1594"/>
      <c r="AT118" s="1594"/>
      <c r="AU118" s="1594"/>
      <c r="AV118" s="1594"/>
      <c r="AW118" s="1594"/>
      <c r="AX118" s="1594"/>
      <c r="AY118" s="1594"/>
      <c r="AZ118" s="1594"/>
      <c r="BA118" s="1594"/>
      <c r="BB118" s="1594"/>
      <c r="BC118" s="1594"/>
      <c r="BD118" s="1594"/>
      <c r="BE118" s="1594"/>
      <c r="BF118" s="1594"/>
      <c r="BG118" s="1594"/>
      <c r="BH118" s="1594"/>
      <c r="BI118" s="1594"/>
      <c r="BJ118" s="1594"/>
      <c r="BK118" s="1594"/>
      <c r="BL118" s="1594"/>
      <c r="BM118" s="1594"/>
      <c r="BN118" s="1594"/>
      <c r="BO118" s="1594"/>
      <c r="BP118" s="1594"/>
      <c r="BQ118" s="1594"/>
      <c r="BR118" s="1594"/>
      <c r="BS118" s="1594"/>
      <c r="BT118" s="1594"/>
      <c r="BU118" s="1594"/>
      <c r="BV118" s="1594"/>
      <c r="BW118" s="1594"/>
      <c r="BX118" s="1594"/>
      <c r="BY118" s="1594"/>
      <c r="BZ118" s="1594"/>
      <c r="CA118" s="1594"/>
      <c r="CB118" s="1594"/>
      <c r="CC118" s="1594"/>
      <c r="CD118" s="1594"/>
      <c r="CE118" s="1594"/>
      <c r="CF118" s="1594"/>
      <c r="CG118" s="1594"/>
      <c r="CH118" s="1594"/>
      <c r="CI118" s="1594"/>
      <c r="CJ118" s="1594"/>
      <c r="CK118" s="1594"/>
      <c r="CL118" s="1594"/>
      <c r="CM118" s="1594"/>
      <c r="CN118" s="1594"/>
      <c r="CO118" s="1594"/>
      <c r="CP118" s="1594"/>
      <c r="CQ118" s="1594"/>
      <c r="CR118" s="1594"/>
      <c r="CS118" s="1594"/>
      <c r="CT118" s="1594"/>
      <c r="CU118" s="1594"/>
      <c r="CV118" s="1594"/>
      <c r="CW118" s="1594"/>
      <c r="CX118" s="1594"/>
      <c r="CY118" s="1594"/>
      <c r="CZ118" s="1594"/>
    </row>
    <row r="119" spans="1:104">
      <c r="A119" s="1584"/>
      <c r="B119" s="1595" t="s">
        <v>1259</v>
      </c>
      <c r="C119" s="1595"/>
      <c r="D119" s="262"/>
      <c r="E119" s="1595"/>
      <c r="F119" s="262">
        <v>600000</v>
      </c>
      <c r="G119" s="1595"/>
      <c r="H119" s="241"/>
      <c r="I119" s="1595"/>
      <c r="J119" s="1595"/>
      <c r="K119" s="1595"/>
      <c r="L119" s="1595"/>
      <c r="M119" s="1595"/>
      <c r="N119" s="1595"/>
      <c r="O119" s="1595"/>
      <c r="P119" s="1595"/>
      <c r="Q119" s="317">
        <v>3020000</v>
      </c>
      <c r="R119" s="1594"/>
      <c r="S119" s="1594"/>
      <c r="T119" s="1594"/>
      <c r="U119" s="621"/>
      <c r="V119" s="499"/>
      <c r="W119" s="317"/>
      <c r="X119" s="317"/>
      <c r="Y119" s="317"/>
      <c r="Z119" s="317"/>
      <c r="AA119" s="1594"/>
      <c r="AB119" s="1594"/>
      <c r="AC119" s="317"/>
      <c r="AD119" s="1594"/>
      <c r="AE119" s="1594"/>
      <c r="AF119" s="1594"/>
      <c r="AG119" s="1594"/>
      <c r="AH119" s="1594"/>
      <c r="AI119" s="1594"/>
      <c r="AJ119" s="1594"/>
      <c r="AK119" s="1594"/>
      <c r="AL119" s="1594"/>
      <c r="AM119" s="1594"/>
      <c r="AN119" s="1594"/>
      <c r="AO119" s="1594"/>
      <c r="AP119" s="1594"/>
      <c r="AQ119" s="1594"/>
      <c r="AR119" s="1594"/>
      <c r="AS119" s="1594"/>
      <c r="AT119" s="1594"/>
      <c r="AU119" s="1594"/>
      <c r="AV119" s="1594"/>
      <c r="AW119" s="1594"/>
      <c r="AX119" s="1594"/>
      <c r="AY119" s="1594"/>
      <c r="AZ119" s="1594"/>
      <c r="BA119" s="1594"/>
      <c r="BB119" s="1594"/>
      <c r="BC119" s="1594"/>
      <c r="BD119" s="1594"/>
      <c r="BE119" s="1594"/>
      <c r="BF119" s="1594"/>
      <c r="BG119" s="1594"/>
      <c r="BH119" s="1594"/>
      <c r="BI119" s="1594"/>
      <c r="BJ119" s="1594"/>
      <c r="BK119" s="1594"/>
      <c r="BL119" s="1594"/>
      <c r="BM119" s="1594"/>
      <c r="BN119" s="1594"/>
      <c r="BO119" s="1594"/>
      <c r="BP119" s="1594"/>
      <c r="BQ119" s="1594"/>
      <c r="BR119" s="1594"/>
      <c r="BS119" s="1594"/>
      <c r="BT119" s="1594"/>
      <c r="BU119" s="1594"/>
      <c r="BV119" s="1594"/>
      <c r="BW119" s="1594"/>
      <c r="BX119" s="1594"/>
      <c r="BY119" s="1594"/>
      <c r="BZ119" s="1594"/>
      <c r="CA119" s="1594"/>
      <c r="CB119" s="1594"/>
      <c r="CC119" s="1594"/>
      <c r="CD119" s="1594"/>
      <c r="CE119" s="1594"/>
      <c r="CF119" s="1594"/>
      <c r="CG119" s="1594"/>
      <c r="CH119" s="1594"/>
      <c r="CI119" s="1594"/>
      <c r="CJ119" s="1594"/>
      <c r="CK119" s="1594"/>
      <c r="CL119" s="1594"/>
      <c r="CM119" s="1594"/>
      <c r="CN119" s="1594"/>
      <c r="CO119" s="1594"/>
      <c r="CP119" s="1594"/>
      <c r="CQ119" s="1594"/>
      <c r="CR119" s="1594"/>
      <c r="CS119" s="1594"/>
      <c r="CT119" s="1594"/>
      <c r="CU119" s="1594"/>
      <c r="CV119" s="1594"/>
      <c r="CW119" s="1594"/>
      <c r="CX119" s="1594"/>
      <c r="CY119" s="1594"/>
      <c r="CZ119" s="1594"/>
    </row>
    <row r="120" spans="1:104">
      <c r="A120" s="1584"/>
      <c r="B120" s="1595" t="s">
        <v>1260</v>
      </c>
      <c r="C120" s="1595"/>
      <c r="D120" s="327">
        <v>-600000</v>
      </c>
      <c r="E120" s="1595"/>
      <c r="F120" s="327"/>
      <c r="G120" s="1595"/>
      <c r="H120" s="241"/>
      <c r="I120" s="1595"/>
      <c r="J120" s="1595"/>
      <c r="K120" s="1595"/>
      <c r="L120" s="1595"/>
      <c r="M120" s="1595"/>
      <c r="N120" s="1595"/>
      <c r="O120" s="1595"/>
      <c r="P120" s="1595"/>
      <c r="Q120" s="317">
        <v>-3020000</v>
      </c>
      <c r="R120" s="1594"/>
      <c r="S120" s="1594"/>
      <c r="T120" s="1594"/>
      <c r="U120" s="621"/>
      <c r="V120" s="499"/>
      <c r="W120" s="317"/>
      <c r="X120" s="317"/>
      <c r="Y120" s="317"/>
      <c r="Z120" s="317"/>
      <c r="AA120" s="1594"/>
      <c r="AB120" s="1594"/>
      <c r="AC120" s="317"/>
      <c r="AD120" s="1594"/>
      <c r="AE120" s="1594"/>
      <c r="AF120" s="1594"/>
      <c r="AG120" s="1594"/>
      <c r="AH120" s="1594"/>
      <c r="AI120" s="1594"/>
      <c r="AJ120" s="1594"/>
      <c r="AK120" s="1594"/>
      <c r="AL120" s="1594"/>
      <c r="AM120" s="1594"/>
      <c r="AN120" s="1594"/>
      <c r="AO120" s="1594"/>
      <c r="AP120" s="1594"/>
      <c r="AQ120" s="1594"/>
      <c r="AR120" s="1594"/>
      <c r="AS120" s="1594"/>
      <c r="AT120" s="1594"/>
      <c r="AU120" s="1594"/>
      <c r="AV120" s="1594"/>
      <c r="AW120" s="1594"/>
      <c r="AX120" s="1594"/>
      <c r="AY120" s="1594"/>
      <c r="AZ120" s="1594"/>
      <c r="BA120" s="1594"/>
      <c r="BB120" s="1594"/>
      <c r="BC120" s="1594"/>
      <c r="BD120" s="1594"/>
      <c r="BE120" s="1594"/>
      <c r="BF120" s="1594"/>
      <c r="BG120" s="1594"/>
      <c r="BH120" s="1594"/>
      <c r="BI120" s="1594"/>
      <c r="BJ120" s="1594"/>
      <c r="BK120" s="1594"/>
      <c r="BL120" s="1594"/>
      <c r="BM120" s="1594"/>
      <c r="BN120" s="1594"/>
      <c r="BO120" s="1594"/>
      <c r="BP120" s="1594"/>
      <c r="BQ120" s="1594"/>
      <c r="BR120" s="1594"/>
      <c r="BS120" s="1594"/>
      <c r="BT120" s="1594"/>
      <c r="BU120" s="1594"/>
      <c r="BV120" s="1594"/>
      <c r="BW120" s="1594"/>
      <c r="BX120" s="1594"/>
      <c r="BY120" s="1594"/>
      <c r="BZ120" s="1594"/>
      <c r="CA120" s="1594"/>
      <c r="CB120" s="1594"/>
      <c r="CC120" s="1594"/>
      <c r="CD120" s="1594"/>
      <c r="CE120" s="1594"/>
      <c r="CF120" s="1594"/>
      <c r="CG120" s="1594"/>
      <c r="CH120" s="1594"/>
      <c r="CI120" s="1594"/>
      <c r="CJ120" s="1594"/>
      <c r="CK120" s="1594"/>
      <c r="CL120" s="1594"/>
      <c r="CM120" s="1594"/>
      <c r="CN120" s="1594"/>
      <c r="CO120" s="1594"/>
      <c r="CP120" s="1594"/>
      <c r="CQ120" s="1594"/>
      <c r="CR120" s="1594"/>
      <c r="CS120" s="1594"/>
      <c r="CT120" s="1594"/>
      <c r="CU120" s="1594"/>
      <c r="CV120" s="1594"/>
      <c r="CW120" s="1594"/>
      <c r="CX120" s="1594"/>
      <c r="CY120" s="1594"/>
      <c r="CZ120" s="1594"/>
    </row>
    <row r="121" spans="1:104">
      <c r="A121" s="1584"/>
      <c r="B121" s="1595"/>
      <c r="C121" s="1595"/>
      <c r="D121" s="325"/>
      <c r="E121" s="1595"/>
      <c r="F121" s="325"/>
      <c r="G121" s="1595"/>
      <c r="H121" s="241"/>
      <c r="I121" s="1595"/>
      <c r="J121" s="1595"/>
      <c r="K121" s="1595"/>
      <c r="L121" s="1595"/>
      <c r="M121" s="1595"/>
      <c r="N121" s="1595"/>
      <c r="O121" s="1595"/>
      <c r="P121" s="1595"/>
      <c r="Q121" s="317"/>
      <c r="R121" s="1594"/>
      <c r="S121" s="1594"/>
      <c r="T121" s="1594"/>
      <c r="U121" s="621"/>
      <c r="V121" s="499"/>
      <c r="W121" s="317"/>
      <c r="X121" s="317"/>
      <c r="Y121" s="317"/>
      <c r="Z121" s="317"/>
      <c r="AA121" s="1594"/>
      <c r="AB121" s="1594"/>
      <c r="AC121" s="317"/>
      <c r="AD121" s="1594"/>
      <c r="AE121" s="1594"/>
      <c r="AF121" s="1594"/>
      <c r="AG121" s="1594"/>
      <c r="AH121" s="1594"/>
      <c r="AI121" s="1594"/>
      <c r="AJ121" s="1594"/>
      <c r="AK121" s="1594"/>
      <c r="AL121" s="1594"/>
      <c r="AM121" s="1594"/>
      <c r="AN121" s="1594"/>
      <c r="AO121" s="1594"/>
      <c r="AP121" s="1594"/>
      <c r="AQ121" s="1594"/>
      <c r="AR121" s="1594"/>
      <c r="AS121" s="1594"/>
      <c r="AT121" s="1594"/>
      <c r="AU121" s="1594"/>
      <c r="AV121" s="1594"/>
      <c r="AW121" s="1594"/>
      <c r="AX121" s="1594"/>
      <c r="AY121" s="1594"/>
      <c r="AZ121" s="1594"/>
      <c r="BA121" s="1594"/>
      <c r="BB121" s="1594"/>
      <c r="BC121" s="1594"/>
      <c r="BD121" s="1594"/>
      <c r="BE121" s="1594"/>
      <c r="BF121" s="1594"/>
      <c r="BG121" s="1594"/>
      <c r="BH121" s="1594"/>
      <c r="BI121" s="1594"/>
      <c r="BJ121" s="1594"/>
      <c r="BK121" s="1594"/>
      <c r="BL121" s="1594"/>
      <c r="BM121" s="1594"/>
      <c r="BN121" s="1594"/>
      <c r="BO121" s="1594"/>
      <c r="BP121" s="1594"/>
      <c r="BQ121" s="1594"/>
      <c r="BR121" s="1594"/>
      <c r="BS121" s="1594"/>
      <c r="BT121" s="1594"/>
      <c r="BU121" s="1594"/>
      <c r="BV121" s="1594"/>
      <c r="BW121" s="1594"/>
      <c r="BX121" s="1594"/>
      <c r="BY121" s="1594"/>
      <c r="BZ121" s="1594"/>
      <c r="CA121" s="1594"/>
      <c r="CB121" s="1594"/>
      <c r="CC121" s="1594"/>
      <c r="CD121" s="1594"/>
      <c r="CE121" s="1594"/>
      <c r="CF121" s="1594"/>
      <c r="CG121" s="1594"/>
      <c r="CH121" s="1594"/>
      <c r="CI121" s="1594"/>
      <c r="CJ121" s="1594"/>
      <c r="CK121" s="1594"/>
      <c r="CL121" s="1594"/>
      <c r="CM121" s="1594"/>
      <c r="CN121" s="1594"/>
      <c r="CO121" s="1594"/>
      <c r="CP121" s="1594"/>
      <c r="CQ121" s="1594"/>
      <c r="CR121" s="1594"/>
      <c r="CS121" s="1594"/>
      <c r="CT121" s="1594"/>
      <c r="CU121" s="1594"/>
      <c r="CV121" s="1594"/>
      <c r="CW121" s="1594"/>
      <c r="CX121" s="1594"/>
      <c r="CY121" s="1594"/>
      <c r="CZ121" s="1594"/>
    </row>
    <row r="122" spans="1:104" ht="13.5" thickBot="1">
      <c r="A122" s="1584"/>
      <c r="B122" s="142" t="s">
        <v>2441</v>
      </c>
      <c r="C122" s="142"/>
      <c r="D122" s="143">
        <f>SUM(D119:D120)</f>
        <v>-600000</v>
      </c>
      <c r="E122" s="142"/>
      <c r="F122" s="143">
        <f>SUM(F119:F120)</f>
        <v>600000</v>
      </c>
      <c r="G122" s="1595"/>
      <c r="H122" s="241"/>
      <c r="I122" s="1595"/>
      <c r="J122" s="1595"/>
      <c r="K122" s="1595"/>
      <c r="L122" s="1595"/>
      <c r="M122" s="1595"/>
      <c r="N122" s="1595"/>
      <c r="O122" s="1595"/>
      <c r="P122" s="1595"/>
      <c r="Q122" s="143">
        <f>SUM(Q119:Q120)</f>
        <v>0</v>
      </c>
      <c r="R122" s="1594"/>
      <c r="S122" s="1594"/>
      <c r="T122" s="1594"/>
      <c r="U122" s="246">
        <f>SUM(U119:U120)</f>
        <v>0</v>
      </c>
      <c r="V122" s="499"/>
      <c r="W122" s="317"/>
      <c r="X122" s="317"/>
      <c r="Y122" s="317"/>
      <c r="Z122" s="317"/>
      <c r="AA122" s="1594"/>
      <c r="AB122" s="1594"/>
      <c r="AC122" s="317"/>
      <c r="AD122" s="1594"/>
      <c r="AE122" s="1594"/>
      <c r="AF122" s="1594"/>
      <c r="AG122" s="1594"/>
      <c r="AH122" s="1594"/>
      <c r="AI122" s="1594"/>
      <c r="AJ122" s="1594"/>
      <c r="AK122" s="1594"/>
      <c r="AL122" s="1594"/>
      <c r="AM122" s="1594"/>
      <c r="AN122" s="1594"/>
      <c r="AO122" s="1594"/>
      <c r="AP122" s="1594"/>
      <c r="AQ122" s="1594"/>
      <c r="AR122" s="1594"/>
      <c r="AS122" s="1594"/>
      <c r="AT122" s="1594"/>
      <c r="AU122" s="1594"/>
      <c r="AV122" s="1594"/>
      <c r="AW122" s="1594"/>
      <c r="AX122" s="1594"/>
      <c r="AY122" s="1594"/>
      <c r="AZ122" s="1594"/>
      <c r="BA122" s="1594"/>
      <c r="BB122" s="1594"/>
      <c r="BC122" s="1594"/>
      <c r="BD122" s="1594"/>
      <c r="BE122" s="1594"/>
      <c r="BF122" s="1594"/>
      <c r="BG122" s="1594"/>
      <c r="BH122" s="1594"/>
      <c r="BI122" s="1594"/>
      <c r="BJ122" s="1594"/>
      <c r="BK122" s="1594"/>
      <c r="BL122" s="1594"/>
      <c r="BM122" s="1594"/>
      <c r="BN122" s="1594"/>
      <c r="BO122" s="1594"/>
      <c r="BP122" s="1594"/>
      <c r="BQ122" s="1594"/>
      <c r="BR122" s="1594"/>
      <c r="BS122" s="1594"/>
      <c r="BT122" s="1594"/>
      <c r="BU122" s="1594"/>
      <c r="BV122" s="1594"/>
      <c r="BW122" s="1594"/>
      <c r="BX122" s="1594"/>
      <c r="BY122" s="1594"/>
      <c r="BZ122" s="1594"/>
      <c r="CA122" s="1594"/>
      <c r="CB122" s="1594"/>
      <c r="CC122" s="1594"/>
      <c r="CD122" s="1594"/>
      <c r="CE122" s="1594"/>
      <c r="CF122" s="1594"/>
      <c r="CG122" s="1594"/>
      <c r="CH122" s="1594"/>
      <c r="CI122" s="1594"/>
      <c r="CJ122" s="1594"/>
      <c r="CK122" s="1594"/>
      <c r="CL122" s="1594"/>
      <c r="CM122" s="1594"/>
      <c r="CN122" s="1594"/>
      <c r="CO122" s="1594"/>
      <c r="CP122" s="1594"/>
      <c r="CQ122" s="1594"/>
      <c r="CR122" s="1594"/>
      <c r="CS122" s="1594"/>
      <c r="CT122" s="1594"/>
      <c r="CU122" s="1594"/>
      <c r="CV122" s="1594"/>
      <c r="CW122" s="1594"/>
      <c r="CX122" s="1594"/>
      <c r="CY122" s="1594"/>
      <c r="CZ122" s="1594"/>
    </row>
    <row r="123" spans="1:104" ht="13.5" thickTop="1">
      <c r="A123" s="1584"/>
      <c r="B123" s="1595"/>
      <c r="C123" s="1595"/>
      <c r="D123" s="325"/>
      <c r="E123" s="1595"/>
      <c r="F123" s="325"/>
      <c r="G123" s="1595"/>
      <c r="H123" s="241"/>
      <c r="I123" s="1595"/>
      <c r="J123" s="1595"/>
      <c r="K123" s="1595"/>
      <c r="L123" s="1595"/>
      <c r="M123" s="1595"/>
      <c r="N123" s="1595"/>
      <c r="O123" s="1595"/>
      <c r="P123" s="1595"/>
      <c r="Q123" s="317"/>
      <c r="R123" s="1594"/>
      <c r="S123" s="1594"/>
      <c r="T123" s="1594"/>
      <c r="U123" s="621"/>
      <c r="V123" s="499"/>
      <c r="W123" s="317"/>
      <c r="X123" s="317">
        <f>F137+F83</f>
        <v>31677125.789999999</v>
      </c>
      <c r="Y123" s="317"/>
      <c r="Z123" s="317"/>
      <c r="AA123" s="1594"/>
      <c r="AB123" s="1594"/>
      <c r="AC123" s="317"/>
      <c r="AD123" s="1594"/>
      <c r="AE123" s="1594"/>
      <c r="AF123" s="1594"/>
      <c r="AG123" s="1594"/>
      <c r="AH123" s="1594"/>
      <c r="AI123" s="1594"/>
      <c r="AJ123" s="1594"/>
      <c r="AK123" s="1594"/>
      <c r="AL123" s="1594"/>
      <c r="AM123" s="1594"/>
      <c r="AN123" s="1594"/>
      <c r="AO123" s="1594"/>
      <c r="AP123" s="1594"/>
      <c r="AQ123" s="1594"/>
      <c r="AR123" s="1594"/>
      <c r="AS123" s="1594"/>
      <c r="AT123" s="1594"/>
      <c r="AU123" s="1594"/>
      <c r="AV123" s="1594"/>
      <c r="AW123" s="1594"/>
      <c r="AX123" s="1594"/>
      <c r="AY123" s="1594"/>
      <c r="AZ123" s="1594"/>
      <c r="BA123" s="1594"/>
      <c r="BB123" s="1594"/>
      <c r="BC123" s="1594"/>
      <c r="BD123" s="1594"/>
      <c r="BE123" s="1594"/>
      <c r="BF123" s="1594"/>
      <c r="BG123" s="1594"/>
      <c r="BH123" s="1594"/>
      <c r="BI123" s="1594"/>
      <c r="BJ123" s="1594"/>
      <c r="BK123" s="1594"/>
      <c r="BL123" s="1594"/>
      <c r="BM123" s="1594"/>
      <c r="BN123" s="1594"/>
      <c r="BO123" s="1594"/>
      <c r="BP123" s="1594"/>
      <c r="BQ123" s="1594"/>
      <c r="BR123" s="1594"/>
      <c r="BS123" s="1594"/>
      <c r="BT123" s="1594"/>
      <c r="BU123" s="1594"/>
      <c r="BV123" s="1594"/>
      <c r="BW123" s="1594"/>
      <c r="BX123" s="1594"/>
      <c r="BY123" s="1594"/>
      <c r="BZ123" s="1594"/>
      <c r="CA123" s="1594"/>
      <c r="CB123" s="1594"/>
      <c r="CC123" s="1594"/>
      <c r="CD123" s="1594"/>
      <c r="CE123" s="1594"/>
      <c r="CF123" s="1594"/>
      <c r="CG123" s="1594"/>
      <c r="CH123" s="1594"/>
      <c r="CI123" s="1594"/>
      <c r="CJ123" s="1594"/>
      <c r="CK123" s="1594"/>
      <c r="CL123" s="1594"/>
      <c r="CM123" s="1594"/>
      <c r="CN123" s="1594"/>
      <c r="CO123" s="1594"/>
      <c r="CP123" s="1594"/>
      <c r="CQ123" s="1594"/>
      <c r="CR123" s="1594"/>
      <c r="CS123" s="1594"/>
      <c r="CT123" s="1594"/>
      <c r="CU123" s="1594"/>
      <c r="CV123" s="1594"/>
      <c r="CW123" s="1594"/>
      <c r="CX123" s="1594"/>
      <c r="CY123" s="1594"/>
      <c r="CZ123" s="1594"/>
    </row>
    <row r="124" spans="1:104" s="647" customFormat="1" ht="38.25">
      <c r="A124" s="281"/>
      <c r="B124" s="211" t="s">
        <v>1181</v>
      </c>
      <c r="C124" s="211"/>
      <c r="D124" s="328"/>
      <c r="E124" s="211"/>
      <c r="F124" s="328"/>
      <c r="G124" s="211"/>
      <c r="H124" s="329"/>
      <c r="I124" s="211"/>
      <c r="J124" s="211"/>
      <c r="K124" s="211"/>
      <c r="L124" s="211"/>
      <c r="M124" s="211"/>
      <c r="N124" s="211"/>
      <c r="O124" s="211"/>
      <c r="P124" s="211"/>
      <c r="Q124" s="211"/>
      <c r="R124" s="211"/>
      <c r="S124" s="211"/>
      <c r="T124" s="211"/>
      <c r="U124" s="645"/>
      <c r="V124" s="646"/>
      <c r="W124" s="328"/>
      <c r="X124" s="328"/>
      <c r="Y124" s="328"/>
      <c r="Z124" s="328"/>
      <c r="AA124" s="211"/>
      <c r="AB124" s="211"/>
      <c r="AC124" s="328"/>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c r="BI124" s="211"/>
      <c r="BJ124" s="211"/>
      <c r="BK124" s="211"/>
      <c r="BL124" s="211"/>
      <c r="BM124" s="211"/>
      <c r="BN124" s="211"/>
      <c r="BO124" s="211"/>
      <c r="BP124" s="211"/>
      <c r="BQ124" s="211"/>
      <c r="BR124" s="211"/>
      <c r="BS124" s="211"/>
      <c r="BT124" s="211"/>
      <c r="BU124" s="211"/>
      <c r="BV124" s="211"/>
      <c r="BW124" s="211"/>
      <c r="BX124" s="211"/>
      <c r="BY124" s="211"/>
      <c r="BZ124" s="211"/>
      <c r="CA124" s="211"/>
      <c r="CB124" s="211"/>
      <c r="CC124" s="211"/>
      <c r="CD124" s="211"/>
      <c r="CE124" s="211"/>
      <c r="CF124" s="211"/>
      <c r="CG124" s="211"/>
      <c r="CH124" s="211"/>
      <c r="CI124" s="211"/>
      <c r="CJ124" s="211"/>
      <c r="CK124" s="211"/>
      <c r="CL124" s="211"/>
      <c r="CM124" s="211"/>
      <c r="CN124" s="211"/>
      <c r="CO124" s="211"/>
      <c r="CP124" s="211"/>
      <c r="CQ124" s="211"/>
      <c r="CR124" s="211"/>
      <c r="CS124" s="211"/>
      <c r="CT124" s="211"/>
      <c r="CU124" s="211"/>
      <c r="CV124" s="211"/>
      <c r="CW124" s="211"/>
      <c r="CX124" s="211"/>
      <c r="CY124" s="211"/>
      <c r="CZ124" s="211"/>
    </row>
    <row r="125" spans="1:104">
      <c r="A125" s="1584"/>
      <c r="B125" s="1594"/>
      <c r="C125" s="1594"/>
      <c r="D125" s="317"/>
      <c r="E125" s="1594"/>
      <c r="F125" s="317"/>
      <c r="G125" s="1594"/>
      <c r="Q125" s="317"/>
      <c r="R125" s="1594"/>
      <c r="S125" s="1594"/>
      <c r="T125" s="1594"/>
      <c r="U125" s="621"/>
      <c r="V125" s="499"/>
      <c r="W125" s="317"/>
      <c r="X125" s="317"/>
      <c r="Y125" s="317"/>
      <c r="Z125" s="317"/>
      <c r="AA125" s="1594"/>
      <c r="AB125" s="1594"/>
      <c r="AC125" s="317"/>
      <c r="AD125" s="1594"/>
      <c r="AE125" s="1594"/>
      <c r="AF125" s="1594"/>
      <c r="AG125" s="1594"/>
      <c r="AH125" s="1594"/>
      <c r="AI125" s="1594"/>
      <c r="AJ125" s="1594"/>
      <c r="AK125" s="1594"/>
      <c r="AL125" s="1594"/>
      <c r="AM125" s="1594"/>
      <c r="AN125" s="1594"/>
      <c r="AO125" s="1594"/>
      <c r="AP125" s="1594"/>
      <c r="AQ125" s="1594"/>
      <c r="AR125" s="1594"/>
      <c r="AS125" s="1594"/>
      <c r="AT125" s="1594"/>
      <c r="AU125" s="1594"/>
      <c r="AV125" s="1594"/>
      <c r="AW125" s="1594"/>
      <c r="AX125" s="1594"/>
      <c r="AY125" s="1594"/>
      <c r="AZ125" s="1594"/>
      <c r="BA125" s="1594"/>
      <c r="BB125" s="1594"/>
      <c r="BC125" s="1594"/>
      <c r="BD125" s="1594"/>
      <c r="BE125" s="1594"/>
      <c r="BF125" s="1594"/>
      <c r="BG125" s="1594"/>
      <c r="BH125" s="1594"/>
      <c r="BI125" s="1594"/>
      <c r="BJ125" s="1594"/>
      <c r="BK125" s="1594"/>
      <c r="BL125" s="1594"/>
      <c r="BM125" s="1594"/>
      <c r="BN125" s="1594"/>
      <c r="BO125" s="1594"/>
      <c r="BP125" s="1594"/>
      <c r="BQ125" s="1594"/>
      <c r="BR125" s="1594"/>
      <c r="BS125" s="1594"/>
      <c r="BT125" s="1594"/>
      <c r="BU125" s="1594"/>
      <c r="BV125" s="1594"/>
      <c r="BW125" s="1594"/>
      <c r="BX125" s="1594"/>
      <c r="BY125" s="1594"/>
      <c r="BZ125" s="1594"/>
      <c r="CA125" s="1594"/>
      <c r="CB125" s="1594"/>
      <c r="CC125" s="1594"/>
      <c r="CD125" s="1594"/>
      <c r="CE125" s="1594"/>
      <c r="CF125" s="1594"/>
      <c r="CG125" s="1594"/>
      <c r="CH125" s="1594"/>
      <c r="CI125" s="1594"/>
      <c r="CJ125" s="1594"/>
      <c r="CK125" s="1594"/>
      <c r="CL125" s="1594"/>
      <c r="CM125" s="1594"/>
      <c r="CN125" s="1594"/>
      <c r="CO125" s="1594"/>
      <c r="CP125" s="1594"/>
      <c r="CQ125" s="1594"/>
      <c r="CR125" s="1594"/>
      <c r="CS125" s="1594"/>
      <c r="CT125" s="1594"/>
      <c r="CU125" s="1594"/>
      <c r="CV125" s="1594"/>
      <c r="CW125" s="1594"/>
      <c r="CX125" s="1594"/>
      <c r="CY125" s="1594"/>
      <c r="CZ125" s="1594"/>
    </row>
    <row r="126" spans="1:104">
      <c r="A126" s="1584">
        <v>21.8</v>
      </c>
      <c r="B126" s="1591" t="s">
        <v>304</v>
      </c>
      <c r="C126" s="1591"/>
      <c r="D126" s="146"/>
      <c r="E126" s="1591"/>
      <c r="F126" s="146"/>
      <c r="G126" s="1594"/>
      <c r="Q126" s="317"/>
      <c r="R126" s="1594"/>
      <c r="S126" s="1594"/>
      <c r="T126" s="1594"/>
      <c r="U126" s="621"/>
      <c r="V126" s="499"/>
      <c r="W126" s="317"/>
      <c r="X126" s="317"/>
      <c r="Y126" s="317"/>
      <c r="Z126" s="317"/>
      <c r="AA126" s="1594"/>
      <c r="AB126" s="1594"/>
      <c r="AC126" s="317"/>
      <c r="AD126" s="1594"/>
      <c r="AE126" s="1594"/>
      <c r="AF126" s="1594"/>
      <c r="AG126" s="1594"/>
      <c r="AH126" s="1594"/>
      <c r="AI126" s="1594"/>
      <c r="AJ126" s="1594"/>
      <c r="AK126" s="1594"/>
      <c r="AL126" s="1594"/>
      <c r="AM126" s="1594"/>
      <c r="AN126" s="1594"/>
      <c r="AO126" s="1594"/>
      <c r="AP126" s="1594"/>
      <c r="AQ126" s="1594"/>
      <c r="AR126" s="1594"/>
      <c r="AS126" s="1594"/>
      <c r="AT126" s="1594"/>
      <c r="AU126" s="1594"/>
      <c r="AV126" s="1594"/>
      <c r="AW126" s="1594"/>
      <c r="AX126" s="1594"/>
      <c r="AY126" s="1594"/>
      <c r="AZ126" s="1594"/>
      <c r="BA126" s="1594"/>
      <c r="BB126" s="1594"/>
      <c r="BC126" s="1594"/>
      <c r="BD126" s="1594"/>
      <c r="BE126" s="1594"/>
      <c r="BF126" s="1594"/>
      <c r="BG126" s="1594"/>
      <c r="BH126" s="1594"/>
      <c r="BI126" s="1594"/>
      <c r="BJ126" s="1594"/>
      <c r="BK126" s="1594"/>
      <c r="BL126" s="1594"/>
      <c r="BM126" s="1594"/>
      <c r="BN126" s="1594"/>
      <c r="BO126" s="1594"/>
      <c r="BP126" s="1594"/>
      <c r="BQ126" s="1594"/>
      <c r="BR126" s="1594"/>
      <c r="BS126" s="1594"/>
      <c r="BT126" s="1594"/>
      <c r="BU126" s="1594"/>
      <c r="BV126" s="1594"/>
      <c r="BW126" s="1594"/>
      <c r="BX126" s="1594"/>
      <c r="BY126" s="1594"/>
      <c r="BZ126" s="1594"/>
      <c r="CA126" s="1594"/>
      <c r="CB126" s="1594"/>
      <c r="CC126" s="1594"/>
      <c r="CD126" s="1594"/>
      <c r="CE126" s="1594"/>
      <c r="CF126" s="1594"/>
      <c r="CG126" s="1594"/>
      <c r="CH126" s="1594"/>
      <c r="CI126" s="1594"/>
      <c r="CJ126" s="1594"/>
      <c r="CK126" s="1594"/>
      <c r="CL126" s="1594"/>
      <c r="CM126" s="1594"/>
      <c r="CN126" s="1594"/>
      <c r="CO126" s="1594"/>
      <c r="CP126" s="1594"/>
      <c r="CQ126" s="1594"/>
      <c r="CR126" s="1594"/>
      <c r="CS126" s="1594"/>
      <c r="CT126" s="1594"/>
      <c r="CU126" s="1594"/>
      <c r="CV126" s="1594"/>
      <c r="CW126" s="1594"/>
      <c r="CX126" s="1594"/>
      <c r="CY126" s="1594"/>
      <c r="CZ126" s="1594"/>
    </row>
    <row r="127" spans="1:104">
      <c r="A127" s="1584"/>
      <c r="B127" s="1591"/>
      <c r="C127" s="1591"/>
      <c r="D127" s="146"/>
      <c r="E127" s="1591"/>
      <c r="F127" s="146"/>
      <c r="G127" s="1594"/>
      <c r="Q127" s="317"/>
      <c r="R127" s="1594"/>
      <c r="S127" s="1594"/>
      <c r="T127" s="1594"/>
      <c r="U127" s="621"/>
      <c r="V127" s="499"/>
      <c r="W127" s="317"/>
      <c r="X127" s="317"/>
      <c r="Y127" s="317"/>
      <c r="Z127" s="317"/>
      <c r="AA127" s="1594"/>
      <c r="AB127" s="1594"/>
      <c r="AC127" s="317"/>
      <c r="AD127" s="1594"/>
      <c r="AE127" s="1594"/>
      <c r="AF127" s="1594"/>
      <c r="AG127" s="1594"/>
      <c r="AH127" s="1594"/>
      <c r="AI127" s="1594"/>
      <c r="AJ127" s="1594"/>
      <c r="AK127" s="1594"/>
      <c r="AL127" s="1594"/>
      <c r="AM127" s="1594"/>
      <c r="AN127" s="1594"/>
      <c r="AO127" s="1594"/>
      <c r="AP127" s="1594"/>
      <c r="AQ127" s="1594"/>
      <c r="AR127" s="1594"/>
      <c r="AS127" s="1594"/>
      <c r="AT127" s="1594"/>
      <c r="AU127" s="1594"/>
      <c r="AV127" s="1594"/>
      <c r="AW127" s="1594"/>
      <c r="AX127" s="1594"/>
      <c r="AY127" s="1594"/>
      <c r="AZ127" s="1594"/>
      <c r="BA127" s="1594"/>
      <c r="BB127" s="1594"/>
      <c r="BC127" s="1594"/>
      <c r="BD127" s="1594"/>
      <c r="BE127" s="1594"/>
      <c r="BF127" s="1594"/>
      <c r="BG127" s="1594"/>
      <c r="BH127" s="1594"/>
      <c r="BI127" s="1594"/>
      <c r="BJ127" s="1594"/>
      <c r="BK127" s="1594"/>
      <c r="BL127" s="1594"/>
      <c r="BM127" s="1594"/>
      <c r="BN127" s="1594"/>
      <c r="BO127" s="1594"/>
      <c r="BP127" s="1594"/>
      <c r="BQ127" s="1594"/>
      <c r="BR127" s="1594"/>
      <c r="BS127" s="1594"/>
      <c r="BT127" s="1594"/>
      <c r="BU127" s="1594"/>
      <c r="BV127" s="1594"/>
      <c r="BW127" s="1594"/>
      <c r="BX127" s="1594"/>
      <c r="BY127" s="1594"/>
      <c r="BZ127" s="1594"/>
      <c r="CA127" s="1594"/>
      <c r="CB127" s="1594"/>
      <c r="CC127" s="1594"/>
      <c r="CD127" s="1594"/>
      <c r="CE127" s="1594"/>
      <c r="CF127" s="1594"/>
      <c r="CG127" s="1594"/>
      <c r="CH127" s="1594"/>
      <c r="CI127" s="1594"/>
      <c r="CJ127" s="1594"/>
      <c r="CK127" s="1594"/>
      <c r="CL127" s="1594"/>
      <c r="CM127" s="1594"/>
      <c r="CN127" s="1594"/>
      <c r="CO127" s="1594"/>
      <c r="CP127" s="1594"/>
      <c r="CQ127" s="1594"/>
      <c r="CR127" s="1594"/>
      <c r="CS127" s="1594"/>
      <c r="CT127" s="1594"/>
      <c r="CU127" s="1594"/>
      <c r="CV127" s="1594"/>
      <c r="CW127" s="1594"/>
      <c r="CX127" s="1594"/>
      <c r="CY127" s="1594"/>
      <c r="CZ127" s="1594"/>
    </row>
    <row r="128" spans="1:104">
      <c r="A128" s="1584"/>
      <c r="B128" s="1595" t="s">
        <v>1259</v>
      </c>
      <c r="C128" s="1595"/>
      <c r="D128" s="262"/>
      <c r="E128" s="1595"/>
      <c r="F128" s="262"/>
      <c r="G128" s="1594"/>
      <c r="Q128" s="640" t="e">
        <f>-SUM('TRAIL BALANCE'!#REF!)</f>
        <v>#REF!</v>
      </c>
      <c r="R128" s="1594"/>
      <c r="S128" s="1594"/>
      <c r="T128" s="1594"/>
      <c r="U128" s="641" t="e">
        <f>-SUM('TRAIL BALANCE'!#REF!)</f>
        <v>#REF!</v>
      </c>
      <c r="V128" s="499"/>
      <c r="W128" s="317"/>
      <c r="X128" s="317"/>
      <c r="Y128" s="317"/>
      <c r="Z128" s="317"/>
      <c r="AA128" s="1594"/>
      <c r="AB128" s="1594"/>
      <c r="AC128" s="317"/>
      <c r="AD128" s="1594"/>
      <c r="AE128" s="1594"/>
      <c r="AF128" s="1594"/>
      <c r="AG128" s="1594"/>
      <c r="AH128" s="1594"/>
      <c r="AI128" s="1594"/>
      <c r="AJ128" s="1594"/>
      <c r="AK128" s="1594"/>
      <c r="AL128" s="1594"/>
      <c r="AM128" s="1594"/>
      <c r="AN128" s="1594"/>
      <c r="AO128" s="1594"/>
      <c r="AP128" s="1594"/>
      <c r="AQ128" s="1594"/>
      <c r="AR128" s="1594"/>
      <c r="AS128" s="1594"/>
      <c r="AT128" s="1594"/>
      <c r="AU128" s="1594"/>
      <c r="AV128" s="1594"/>
      <c r="AW128" s="1594"/>
      <c r="AX128" s="1594"/>
      <c r="AY128" s="1594"/>
      <c r="AZ128" s="1594"/>
      <c r="BA128" s="1594"/>
      <c r="BB128" s="1594"/>
      <c r="BC128" s="1594"/>
      <c r="BD128" s="1594"/>
      <c r="BE128" s="1594"/>
      <c r="BF128" s="1594"/>
      <c r="BG128" s="1594"/>
      <c r="BH128" s="1594"/>
      <c r="BI128" s="1594"/>
      <c r="BJ128" s="1594"/>
      <c r="BK128" s="1594"/>
      <c r="BL128" s="1594"/>
      <c r="BM128" s="1594"/>
      <c r="BN128" s="1594"/>
      <c r="BO128" s="1594"/>
      <c r="BP128" s="1594"/>
      <c r="BQ128" s="1594"/>
      <c r="BR128" s="1594"/>
      <c r="BS128" s="1594"/>
      <c r="BT128" s="1594"/>
      <c r="BU128" s="1594"/>
      <c r="BV128" s="1594"/>
      <c r="BW128" s="1594"/>
      <c r="BX128" s="1594"/>
      <c r="BY128" s="1594"/>
      <c r="BZ128" s="1594"/>
      <c r="CA128" s="1594"/>
      <c r="CB128" s="1594"/>
      <c r="CC128" s="1594"/>
      <c r="CD128" s="1594"/>
      <c r="CE128" s="1594"/>
      <c r="CF128" s="1594"/>
      <c r="CG128" s="1594"/>
      <c r="CH128" s="1594"/>
      <c r="CI128" s="1594"/>
      <c r="CJ128" s="1594"/>
      <c r="CK128" s="1594"/>
      <c r="CL128" s="1594"/>
      <c r="CM128" s="1594"/>
      <c r="CN128" s="1594"/>
      <c r="CO128" s="1594"/>
      <c r="CP128" s="1594"/>
      <c r="CQ128" s="1594"/>
      <c r="CR128" s="1594"/>
      <c r="CS128" s="1594"/>
      <c r="CT128" s="1594"/>
      <c r="CU128" s="1594"/>
      <c r="CV128" s="1594"/>
      <c r="CW128" s="1594"/>
      <c r="CX128" s="1594"/>
      <c r="CY128" s="1594"/>
      <c r="CZ128" s="1594"/>
    </row>
    <row r="129" spans="1:104">
      <c r="A129" s="1584"/>
      <c r="B129" s="1595" t="s">
        <v>1260</v>
      </c>
      <c r="C129" s="1595"/>
      <c r="D129" s="327"/>
      <c r="E129" s="1595"/>
      <c r="F129" s="327"/>
      <c r="G129" s="1594"/>
      <c r="Q129" s="643" t="e">
        <f>SUM('TRAIL BALANCE'!#REF!)</f>
        <v>#REF!</v>
      </c>
      <c r="R129" s="1594"/>
      <c r="S129" s="1594"/>
      <c r="T129" s="1594"/>
      <c r="U129" s="644" t="e">
        <f>SUM('TRAIL BALANCE'!#REF!)</f>
        <v>#REF!</v>
      </c>
      <c r="V129" s="499"/>
      <c r="W129" s="316" t="s">
        <v>36</v>
      </c>
      <c r="X129" s="317"/>
      <c r="Y129" s="317"/>
      <c r="Z129" s="317"/>
      <c r="AA129" s="1594"/>
      <c r="AB129" s="1594"/>
      <c r="AC129" s="317"/>
      <c r="AD129" s="1594"/>
      <c r="AE129" s="1594"/>
      <c r="AF129" s="1594"/>
      <c r="AG129" s="1594"/>
      <c r="AH129" s="1594"/>
      <c r="AI129" s="1594"/>
      <c r="AJ129" s="1594"/>
      <c r="AK129" s="1594"/>
      <c r="AL129" s="1594"/>
      <c r="AM129" s="1594"/>
      <c r="AN129" s="1594"/>
      <c r="AO129" s="1594"/>
      <c r="AP129" s="1594"/>
      <c r="AQ129" s="1594"/>
      <c r="AR129" s="1594"/>
      <c r="AS129" s="1594"/>
      <c r="AT129" s="1594"/>
      <c r="AU129" s="1594"/>
      <c r="AV129" s="1594"/>
      <c r="AW129" s="1594"/>
      <c r="AX129" s="1594"/>
      <c r="AY129" s="1594"/>
      <c r="AZ129" s="1594"/>
      <c r="BA129" s="1594"/>
      <c r="BB129" s="1594"/>
      <c r="BC129" s="1594"/>
      <c r="BD129" s="1594"/>
      <c r="BE129" s="1594"/>
      <c r="BF129" s="1594"/>
      <c r="BG129" s="1594"/>
      <c r="BH129" s="1594"/>
      <c r="BI129" s="1594"/>
      <c r="BJ129" s="1594"/>
      <c r="BK129" s="1594"/>
      <c r="BL129" s="1594"/>
      <c r="BM129" s="1594"/>
      <c r="BN129" s="1594"/>
      <c r="BO129" s="1594"/>
      <c r="BP129" s="1594"/>
      <c r="BQ129" s="1594"/>
      <c r="BR129" s="1594"/>
      <c r="BS129" s="1594"/>
      <c r="BT129" s="1594"/>
      <c r="BU129" s="1594"/>
      <c r="BV129" s="1594"/>
      <c r="BW129" s="1594"/>
      <c r="BX129" s="1594"/>
      <c r="BY129" s="1594"/>
      <c r="BZ129" s="1594"/>
      <c r="CA129" s="1594"/>
      <c r="CB129" s="1594"/>
      <c r="CC129" s="1594"/>
      <c r="CD129" s="1594"/>
      <c r="CE129" s="1594"/>
      <c r="CF129" s="1594"/>
      <c r="CG129" s="1594"/>
      <c r="CH129" s="1594"/>
      <c r="CI129" s="1594"/>
      <c r="CJ129" s="1594"/>
      <c r="CK129" s="1594"/>
      <c r="CL129" s="1594"/>
      <c r="CM129" s="1594"/>
      <c r="CN129" s="1594"/>
      <c r="CO129" s="1594"/>
      <c r="CP129" s="1594"/>
      <c r="CQ129" s="1594"/>
      <c r="CR129" s="1594"/>
      <c r="CS129" s="1594"/>
      <c r="CT129" s="1594"/>
      <c r="CU129" s="1594"/>
      <c r="CV129" s="1594"/>
      <c r="CW129" s="1594"/>
      <c r="CX129" s="1594"/>
      <c r="CY129" s="1594"/>
      <c r="CZ129" s="1594"/>
    </row>
    <row r="130" spans="1:104">
      <c r="A130" s="1584"/>
      <c r="B130" s="1595"/>
      <c r="C130" s="1595"/>
      <c r="D130" s="325"/>
      <c r="E130" s="1595"/>
      <c r="F130" s="325"/>
      <c r="G130" s="1594"/>
      <c r="Q130" s="325"/>
      <c r="R130" s="1594"/>
      <c r="S130" s="1594"/>
      <c r="T130" s="1594"/>
      <c r="U130" s="527"/>
      <c r="V130" s="499"/>
      <c r="W130" s="316"/>
      <c r="X130" s="317"/>
      <c r="Y130" s="317"/>
      <c r="Z130" s="317"/>
      <c r="AA130" s="1594"/>
      <c r="AB130" s="1594"/>
      <c r="AC130" s="317"/>
      <c r="AD130" s="1594"/>
      <c r="AE130" s="1594"/>
      <c r="AF130" s="1594"/>
      <c r="AG130" s="1594"/>
      <c r="AH130" s="1594"/>
      <c r="AI130" s="1594"/>
      <c r="AJ130" s="1594"/>
      <c r="AK130" s="1594"/>
      <c r="AL130" s="1594"/>
      <c r="AM130" s="1594"/>
      <c r="AN130" s="1594"/>
      <c r="AO130" s="1594"/>
      <c r="AP130" s="1594"/>
      <c r="AQ130" s="1594"/>
      <c r="AR130" s="1594"/>
      <c r="AS130" s="1594"/>
      <c r="AT130" s="1594"/>
      <c r="AU130" s="1594"/>
      <c r="AV130" s="1594"/>
      <c r="AW130" s="1594"/>
      <c r="AX130" s="1594"/>
      <c r="AY130" s="1594"/>
      <c r="AZ130" s="1594"/>
      <c r="BA130" s="1594"/>
      <c r="BB130" s="1594"/>
      <c r="BC130" s="1594"/>
      <c r="BD130" s="1594"/>
      <c r="BE130" s="1594"/>
      <c r="BF130" s="1594"/>
      <c r="BG130" s="1594"/>
      <c r="BH130" s="1594"/>
      <c r="BI130" s="1594"/>
      <c r="BJ130" s="1594"/>
      <c r="BK130" s="1594"/>
      <c r="BL130" s="1594"/>
      <c r="BM130" s="1594"/>
      <c r="BN130" s="1594"/>
      <c r="BO130" s="1594"/>
      <c r="BP130" s="1594"/>
      <c r="BQ130" s="1594"/>
      <c r="BR130" s="1594"/>
      <c r="BS130" s="1594"/>
      <c r="BT130" s="1594"/>
      <c r="BU130" s="1594"/>
      <c r="BV130" s="1594"/>
      <c r="BW130" s="1594"/>
      <c r="BX130" s="1594"/>
      <c r="BY130" s="1594"/>
      <c r="BZ130" s="1594"/>
      <c r="CA130" s="1594"/>
      <c r="CB130" s="1594"/>
      <c r="CC130" s="1594"/>
      <c r="CD130" s="1594"/>
      <c r="CE130" s="1594"/>
      <c r="CF130" s="1594"/>
      <c r="CG130" s="1594"/>
      <c r="CH130" s="1594"/>
      <c r="CI130" s="1594"/>
      <c r="CJ130" s="1594"/>
      <c r="CK130" s="1594"/>
      <c r="CL130" s="1594"/>
      <c r="CM130" s="1594"/>
      <c r="CN130" s="1594"/>
      <c r="CO130" s="1594"/>
      <c r="CP130" s="1594"/>
      <c r="CQ130" s="1594"/>
      <c r="CR130" s="1594"/>
      <c r="CS130" s="1594"/>
      <c r="CT130" s="1594"/>
      <c r="CU130" s="1594"/>
      <c r="CV130" s="1594"/>
      <c r="CW130" s="1594"/>
      <c r="CX130" s="1594"/>
      <c r="CY130" s="1594"/>
      <c r="CZ130" s="1594"/>
    </row>
    <row r="131" spans="1:104" ht="13.5" thickBot="1">
      <c r="A131" s="1584"/>
      <c r="B131" s="142" t="s">
        <v>2440</v>
      </c>
      <c r="C131" s="142"/>
      <c r="D131" s="1177">
        <f>SUM(D128:D129)</f>
        <v>0</v>
      </c>
      <c r="E131" s="142"/>
      <c r="F131" s="1177">
        <f>SUM(F128:F129)</f>
        <v>0</v>
      </c>
      <c r="G131" s="1594"/>
      <c r="Q131" s="148" t="e">
        <f>SUM(Q128:Q129)</f>
        <v>#REF!</v>
      </c>
      <c r="R131" s="1594"/>
      <c r="S131" s="1594"/>
      <c r="T131" s="1594"/>
      <c r="U131" s="249" t="e">
        <f>SUM(U128:U129)</f>
        <v>#REF!</v>
      </c>
      <c r="V131" s="499"/>
      <c r="W131" s="317"/>
      <c r="X131" s="317"/>
      <c r="Y131" s="317"/>
      <c r="Z131" s="317"/>
      <c r="AA131" s="1594"/>
      <c r="AB131" s="1594"/>
      <c r="AC131" s="317"/>
      <c r="AD131" s="1594"/>
      <c r="AE131" s="1594"/>
      <c r="AF131" s="1594"/>
      <c r="AG131" s="1594"/>
      <c r="AH131" s="1594"/>
      <c r="AI131" s="1594"/>
      <c r="AJ131" s="1594"/>
      <c r="AK131" s="1594"/>
      <c r="AL131" s="1594"/>
      <c r="AM131" s="1594"/>
      <c r="AN131" s="1594"/>
      <c r="AO131" s="1594"/>
      <c r="AP131" s="1594"/>
      <c r="AQ131" s="1594"/>
      <c r="AR131" s="1594"/>
      <c r="AS131" s="1594"/>
      <c r="AT131" s="1594"/>
      <c r="AU131" s="1594"/>
      <c r="AV131" s="1594"/>
      <c r="AW131" s="1594"/>
      <c r="AX131" s="1594"/>
      <c r="AY131" s="1594"/>
      <c r="AZ131" s="1594"/>
      <c r="BA131" s="1594"/>
      <c r="BB131" s="1594"/>
      <c r="BC131" s="1594"/>
      <c r="BD131" s="1594"/>
      <c r="BE131" s="1594"/>
      <c r="BF131" s="1594"/>
      <c r="BG131" s="1594"/>
      <c r="BH131" s="1594"/>
      <c r="BI131" s="1594"/>
      <c r="BJ131" s="1594"/>
      <c r="BK131" s="1594"/>
      <c r="BL131" s="1594"/>
      <c r="BM131" s="1594"/>
      <c r="BN131" s="1594"/>
      <c r="BO131" s="1594"/>
      <c r="BP131" s="1594"/>
      <c r="BQ131" s="1594"/>
      <c r="BR131" s="1594"/>
      <c r="BS131" s="1594"/>
      <c r="BT131" s="1594"/>
      <c r="BU131" s="1594"/>
      <c r="BV131" s="1594"/>
      <c r="BW131" s="1594"/>
      <c r="BX131" s="1594"/>
      <c r="BY131" s="1594"/>
      <c r="BZ131" s="1594"/>
      <c r="CA131" s="1594"/>
      <c r="CB131" s="1594"/>
      <c r="CC131" s="1594"/>
      <c r="CD131" s="1594"/>
      <c r="CE131" s="1594"/>
      <c r="CF131" s="1594"/>
      <c r="CG131" s="1594"/>
      <c r="CH131" s="1594"/>
      <c r="CI131" s="1594"/>
      <c r="CJ131" s="1594"/>
      <c r="CK131" s="1594"/>
      <c r="CL131" s="1594"/>
      <c r="CM131" s="1594"/>
      <c r="CN131" s="1594"/>
      <c r="CO131" s="1594"/>
      <c r="CP131" s="1594"/>
      <c r="CQ131" s="1594"/>
      <c r="CR131" s="1594"/>
      <c r="CS131" s="1594"/>
      <c r="CT131" s="1594"/>
      <c r="CU131" s="1594"/>
      <c r="CV131" s="1594"/>
      <c r="CW131" s="1594"/>
      <c r="CX131" s="1594"/>
      <c r="CY131" s="1594"/>
      <c r="CZ131" s="1594"/>
    </row>
    <row r="132" spans="1:104">
      <c r="A132" s="1584"/>
      <c r="B132" s="1595"/>
      <c r="C132" s="1595"/>
      <c r="D132" s="325"/>
      <c r="E132" s="1595"/>
      <c r="F132" s="325"/>
      <c r="G132" s="1594"/>
      <c r="Q132" s="317"/>
      <c r="R132" s="1594"/>
      <c r="S132" s="1594"/>
      <c r="T132" s="1594"/>
      <c r="U132" s="621"/>
      <c r="V132" s="499"/>
      <c r="W132" s="317"/>
      <c r="X132" s="317"/>
      <c r="Y132" s="317"/>
      <c r="Z132" s="317"/>
      <c r="AA132" s="1594"/>
      <c r="AB132" s="1594"/>
      <c r="AC132" s="317"/>
      <c r="AD132" s="1594"/>
      <c r="AE132" s="1594"/>
      <c r="AF132" s="1594"/>
      <c r="AG132" s="1594"/>
      <c r="AH132" s="1594"/>
      <c r="AI132" s="1594"/>
      <c r="AJ132" s="1594"/>
      <c r="AK132" s="1594"/>
      <c r="AL132" s="1594"/>
      <c r="AM132" s="1594"/>
      <c r="AN132" s="1594"/>
      <c r="AO132" s="1594"/>
      <c r="AP132" s="1594"/>
      <c r="AQ132" s="1594"/>
      <c r="AR132" s="1594"/>
      <c r="AS132" s="1594"/>
      <c r="AT132" s="1594"/>
      <c r="AU132" s="1594"/>
      <c r="AV132" s="1594"/>
      <c r="AW132" s="1594"/>
      <c r="AX132" s="1594"/>
      <c r="AY132" s="1594"/>
      <c r="AZ132" s="1594"/>
      <c r="BA132" s="1594"/>
      <c r="BB132" s="1594"/>
      <c r="BC132" s="1594"/>
      <c r="BD132" s="1594"/>
      <c r="BE132" s="1594"/>
      <c r="BF132" s="1594"/>
      <c r="BG132" s="1594"/>
      <c r="BH132" s="1594"/>
      <c r="BI132" s="1594"/>
      <c r="BJ132" s="1594"/>
      <c r="BK132" s="1594"/>
      <c r="BL132" s="1594"/>
      <c r="BM132" s="1594"/>
      <c r="BN132" s="1594"/>
      <c r="BO132" s="1594"/>
      <c r="BP132" s="1594"/>
      <c r="BQ132" s="1594"/>
      <c r="BR132" s="1594"/>
      <c r="BS132" s="1594"/>
      <c r="BT132" s="1594"/>
      <c r="BU132" s="1594"/>
      <c r="BV132" s="1594"/>
      <c r="BW132" s="1594"/>
      <c r="BX132" s="1594"/>
      <c r="BY132" s="1594"/>
      <c r="BZ132" s="1594"/>
      <c r="CA132" s="1594"/>
      <c r="CB132" s="1594"/>
      <c r="CC132" s="1594"/>
      <c r="CD132" s="1594"/>
      <c r="CE132" s="1594"/>
      <c r="CF132" s="1594"/>
      <c r="CG132" s="1594"/>
      <c r="CH132" s="1594"/>
      <c r="CI132" s="1594"/>
      <c r="CJ132" s="1594"/>
      <c r="CK132" s="1594"/>
      <c r="CL132" s="1594"/>
      <c r="CM132" s="1594"/>
      <c r="CN132" s="1594"/>
      <c r="CO132" s="1594"/>
      <c r="CP132" s="1594"/>
      <c r="CQ132" s="1594"/>
      <c r="CR132" s="1594"/>
      <c r="CS132" s="1594"/>
      <c r="CT132" s="1594"/>
      <c r="CU132" s="1594"/>
      <c r="CV132" s="1594"/>
      <c r="CW132" s="1594"/>
      <c r="CX132" s="1594"/>
      <c r="CY132" s="1594"/>
      <c r="CZ132" s="1594"/>
    </row>
    <row r="133" spans="1:104" s="647" customFormat="1" ht="38.25">
      <c r="A133" s="281"/>
      <c r="B133" s="211" t="s">
        <v>305</v>
      </c>
      <c r="C133" s="211"/>
      <c r="D133" s="328"/>
      <c r="E133" s="211"/>
      <c r="F133" s="328"/>
      <c r="G133" s="211"/>
      <c r="H133" s="329"/>
      <c r="I133" s="211"/>
      <c r="J133" s="211"/>
      <c r="K133" s="211"/>
      <c r="L133" s="211"/>
      <c r="M133" s="211"/>
      <c r="N133" s="211"/>
      <c r="O133" s="211"/>
      <c r="P133" s="211"/>
      <c r="Q133" s="211"/>
      <c r="R133" s="211"/>
      <c r="S133" s="211"/>
      <c r="T133" s="211"/>
      <c r="U133" s="645"/>
      <c r="V133" s="646"/>
      <c r="W133" s="328"/>
      <c r="X133" s="328"/>
      <c r="Y133" s="328"/>
      <c r="Z133" s="328"/>
      <c r="AA133" s="211"/>
      <c r="AB133" s="211"/>
      <c r="AC133" s="328"/>
      <c r="AD133" s="211"/>
      <c r="AE133" s="211"/>
      <c r="AF133" s="211"/>
      <c r="AG133" s="211"/>
      <c r="AH133" s="211"/>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c r="BI133" s="211"/>
      <c r="BJ133" s="211"/>
      <c r="BK133" s="211"/>
      <c r="BL133" s="211"/>
      <c r="BM133" s="211"/>
      <c r="BN133" s="211"/>
      <c r="BO133" s="211"/>
      <c r="BP133" s="211"/>
      <c r="BQ133" s="211"/>
      <c r="BR133" s="211"/>
      <c r="BS133" s="211"/>
      <c r="BT133" s="211"/>
      <c r="BU133" s="211"/>
      <c r="BV133" s="211"/>
      <c r="BW133" s="211"/>
      <c r="BX133" s="211"/>
      <c r="BY133" s="211"/>
      <c r="BZ133" s="211"/>
      <c r="CA133" s="211"/>
      <c r="CB133" s="211"/>
      <c r="CC133" s="211"/>
      <c r="CD133" s="211"/>
      <c r="CE133" s="211"/>
      <c r="CF133" s="211"/>
      <c r="CG133" s="211"/>
      <c r="CH133" s="211"/>
      <c r="CI133" s="211"/>
      <c r="CJ133" s="211"/>
      <c r="CK133" s="211"/>
      <c r="CL133" s="211"/>
      <c r="CM133" s="211"/>
      <c r="CN133" s="211"/>
      <c r="CO133" s="211"/>
      <c r="CP133" s="211"/>
      <c r="CQ133" s="211"/>
      <c r="CR133" s="211"/>
      <c r="CS133" s="211"/>
      <c r="CT133" s="211"/>
      <c r="CU133" s="211"/>
      <c r="CV133" s="211"/>
      <c r="CW133" s="211"/>
      <c r="CX133" s="211"/>
      <c r="CY133" s="211"/>
      <c r="CZ133" s="211"/>
    </row>
    <row r="134" spans="1:104" s="647" customFormat="1">
      <c r="A134" s="281"/>
      <c r="B134" s="211"/>
      <c r="C134" s="211"/>
      <c r="D134" s="328"/>
      <c r="E134" s="211"/>
      <c r="F134" s="328"/>
      <c r="G134" s="211"/>
      <c r="H134" s="329"/>
      <c r="I134" s="211"/>
      <c r="J134" s="211"/>
      <c r="K134" s="211"/>
      <c r="L134" s="211"/>
      <c r="M134" s="211"/>
      <c r="N134" s="211"/>
      <c r="O134" s="211"/>
      <c r="P134" s="211"/>
      <c r="Q134" s="211"/>
      <c r="R134" s="211"/>
      <c r="S134" s="211"/>
      <c r="T134" s="211"/>
      <c r="U134" s="645"/>
      <c r="V134" s="646"/>
      <c r="W134" s="328"/>
      <c r="X134" s="328"/>
      <c r="Y134" s="328"/>
      <c r="Z134" s="328"/>
      <c r="AA134" s="211"/>
      <c r="AB134" s="211"/>
      <c r="AC134" s="328"/>
      <c r="AD134" s="211"/>
      <c r="AE134" s="211"/>
      <c r="AF134" s="211"/>
      <c r="AG134" s="211"/>
      <c r="AH134" s="211"/>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c r="BI134" s="211"/>
      <c r="BJ134" s="211"/>
      <c r="BK134" s="211"/>
      <c r="BL134" s="211"/>
      <c r="BM134" s="211"/>
      <c r="BN134" s="211"/>
      <c r="BO134" s="211"/>
      <c r="BP134" s="211"/>
      <c r="BQ134" s="211"/>
      <c r="BR134" s="211"/>
      <c r="BS134" s="211"/>
      <c r="BT134" s="211"/>
      <c r="BU134" s="211"/>
      <c r="BV134" s="211"/>
      <c r="BW134" s="211"/>
      <c r="BX134" s="211"/>
      <c r="BY134" s="211"/>
      <c r="BZ134" s="211"/>
      <c r="CA134" s="211"/>
      <c r="CB134" s="211"/>
      <c r="CC134" s="211"/>
      <c r="CD134" s="211"/>
      <c r="CE134" s="211"/>
      <c r="CF134" s="211"/>
      <c r="CG134" s="211"/>
      <c r="CH134" s="211"/>
      <c r="CI134" s="211"/>
      <c r="CJ134" s="211"/>
      <c r="CK134" s="211"/>
      <c r="CL134" s="211"/>
      <c r="CM134" s="211"/>
      <c r="CN134" s="211"/>
      <c r="CO134" s="211"/>
      <c r="CP134" s="211"/>
      <c r="CQ134" s="211"/>
      <c r="CR134" s="211"/>
      <c r="CS134" s="211"/>
      <c r="CT134" s="211"/>
      <c r="CU134" s="211"/>
      <c r="CV134" s="211"/>
      <c r="CW134" s="211"/>
      <c r="CX134" s="211"/>
      <c r="CY134" s="211"/>
      <c r="CZ134" s="211"/>
    </row>
    <row r="135" spans="1:104" s="647" customFormat="1">
      <c r="A135" s="1599">
        <v>21.9</v>
      </c>
      <c r="B135" s="142" t="s">
        <v>2122</v>
      </c>
      <c r="C135" s="142"/>
      <c r="D135" s="144"/>
      <c r="E135" s="142"/>
      <c r="F135" s="144"/>
      <c r="G135" s="1594"/>
      <c r="H135" s="316"/>
      <c r="I135" s="1594"/>
      <c r="J135" s="1594"/>
      <c r="K135" s="1594"/>
      <c r="L135" s="1594"/>
      <c r="M135" s="1594"/>
      <c r="N135" s="1594"/>
      <c r="O135" s="1594"/>
      <c r="P135" s="1594"/>
      <c r="Q135" s="317"/>
      <c r="R135" s="1594"/>
      <c r="S135" s="1594"/>
      <c r="T135" s="1594"/>
      <c r="U135" s="621"/>
      <c r="V135" s="646"/>
      <c r="W135" s="328"/>
      <c r="X135" s="328"/>
      <c r="Y135" s="328"/>
      <c r="Z135" s="328"/>
      <c r="AA135" s="211"/>
      <c r="AB135" s="211"/>
      <c r="AC135" s="328"/>
      <c r="AD135" s="211"/>
      <c r="AE135" s="211"/>
      <c r="AF135" s="211"/>
      <c r="AG135" s="211"/>
      <c r="AH135" s="211"/>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c r="BI135" s="211"/>
      <c r="BJ135" s="211"/>
      <c r="BK135" s="211"/>
      <c r="BL135" s="211"/>
      <c r="BM135" s="211"/>
      <c r="BN135" s="211"/>
      <c r="BO135" s="211"/>
      <c r="BP135" s="211"/>
      <c r="BQ135" s="211"/>
      <c r="BR135" s="211"/>
      <c r="BS135" s="211"/>
      <c r="BT135" s="211"/>
      <c r="BU135" s="211"/>
      <c r="BV135" s="211"/>
      <c r="BW135" s="211"/>
      <c r="BX135" s="211"/>
      <c r="BY135" s="211"/>
      <c r="BZ135" s="211"/>
      <c r="CA135" s="211"/>
      <c r="CB135" s="211"/>
      <c r="CC135" s="211"/>
      <c r="CD135" s="211"/>
      <c r="CE135" s="211"/>
      <c r="CF135" s="211"/>
      <c r="CG135" s="211"/>
      <c r="CH135" s="211"/>
      <c r="CI135" s="211"/>
      <c r="CJ135" s="211"/>
      <c r="CK135" s="211"/>
      <c r="CL135" s="211"/>
      <c r="CM135" s="211"/>
      <c r="CN135" s="211"/>
      <c r="CO135" s="211"/>
      <c r="CP135" s="211"/>
      <c r="CQ135" s="211"/>
      <c r="CR135" s="211"/>
      <c r="CS135" s="211"/>
      <c r="CT135" s="211"/>
      <c r="CU135" s="211"/>
      <c r="CV135" s="211"/>
      <c r="CW135" s="211"/>
      <c r="CX135" s="211"/>
      <c r="CY135" s="211"/>
      <c r="CZ135" s="211"/>
    </row>
    <row r="136" spans="1:104" s="647" customFormat="1">
      <c r="A136" s="281"/>
      <c r="B136" s="142"/>
      <c r="C136" s="142"/>
      <c r="D136" s="144"/>
      <c r="E136" s="142"/>
      <c r="F136" s="144"/>
      <c r="G136" s="1594"/>
      <c r="H136" s="316"/>
      <c r="I136" s="1594"/>
      <c r="J136" s="1594"/>
      <c r="K136" s="1594"/>
      <c r="L136" s="1594"/>
      <c r="M136" s="1594"/>
      <c r="N136" s="1594"/>
      <c r="O136" s="1594"/>
      <c r="P136" s="1594"/>
      <c r="Q136" s="317"/>
      <c r="R136" s="1594"/>
      <c r="S136" s="1594"/>
      <c r="T136" s="1594"/>
      <c r="U136" s="621"/>
      <c r="V136" s="646"/>
      <c r="W136" s="328"/>
      <c r="X136" s="328"/>
      <c r="Y136" s="328"/>
      <c r="Z136" s="328"/>
      <c r="AA136" s="211"/>
      <c r="AB136" s="211"/>
      <c r="AC136" s="328"/>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c r="BT136" s="211"/>
      <c r="BU136" s="211"/>
      <c r="BV136" s="211"/>
      <c r="BW136" s="211"/>
      <c r="BX136" s="211"/>
      <c r="BY136" s="211"/>
      <c r="BZ136" s="211"/>
      <c r="CA136" s="211"/>
      <c r="CB136" s="211"/>
      <c r="CC136" s="211"/>
      <c r="CD136" s="211"/>
      <c r="CE136" s="211"/>
      <c r="CF136" s="211"/>
      <c r="CG136" s="211"/>
      <c r="CH136" s="211"/>
      <c r="CI136" s="211"/>
      <c r="CJ136" s="211"/>
      <c r="CK136" s="211"/>
      <c r="CL136" s="211"/>
      <c r="CM136" s="211"/>
      <c r="CN136" s="211"/>
      <c r="CO136" s="211"/>
      <c r="CP136" s="211"/>
      <c r="CQ136" s="211"/>
      <c r="CR136" s="211"/>
      <c r="CS136" s="211"/>
      <c r="CT136" s="211"/>
      <c r="CU136" s="211"/>
      <c r="CV136" s="211"/>
      <c r="CW136" s="211"/>
      <c r="CX136" s="211"/>
      <c r="CY136" s="211"/>
      <c r="CZ136" s="211"/>
    </row>
    <row r="137" spans="1:104" s="647" customFormat="1">
      <c r="A137" s="281"/>
      <c r="B137" s="1595" t="s">
        <v>1259</v>
      </c>
      <c r="C137" s="142"/>
      <c r="D137" s="214"/>
      <c r="E137" s="142"/>
      <c r="F137" s="214">
        <v>350000</v>
      </c>
      <c r="G137" s="1594"/>
      <c r="H137" s="316"/>
      <c r="I137" s="1594"/>
      <c r="J137" s="1594"/>
      <c r="K137" s="1594"/>
      <c r="L137" s="1594"/>
      <c r="M137" s="1594"/>
      <c r="N137" s="1594"/>
      <c r="O137" s="1594"/>
      <c r="P137" s="1594"/>
      <c r="Q137" s="624"/>
      <c r="R137" s="1594"/>
      <c r="S137" s="1594"/>
      <c r="T137" s="1594"/>
      <c r="U137" s="625"/>
      <c r="V137" s="646"/>
      <c r="W137" s="328"/>
      <c r="X137" s="328"/>
      <c r="Y137" s="328"/>
      <c r="Z137" s="328"/>
      <c r="AA137" s="211"/>
      <c r="AB137" s="211"/>
      <c r="AC137" s="328"/>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c r="BT137" s="211"/>
      <c r="BU137" s="211"/>
      <c r="BV137" s="211"/>
      <c r="BW137" s="211"/>
      <c r="BX137" s="211"/>
      <c r="BY137" s="211"/>
      <c r="BZ137" s="211"/>
      <c r="CA137" s="211"/>
      <c r="CB137" s="211"/>
      <c r="CC137" s="211"/>
      <c r="CD137" s="211"/>
      <c r="CE137" s="211"/>
      <c r="CF137" s="211"/>
      <c r="CG137" s="211"/>
      <c r="CH137" s="211"/>
      <c r="CI137" s="211"/>
      <c r="CJ137" s="211"/>
      <c r="CK137" s="211"/>
      <c r="CL137" s="211"/>
      <c r="CM137" s="211"/>
      <c r="CN137" s="211"/>
      <c r="CO137" s="211"/>
      <c r="CP137" s="211"/>
      <c r="CQ137" s="211"/>
      <c r="CR137" s="211"/>
      <c r="CS137" s="211"/>
      <c r="CT137" s="211"/>
      <c r="CU137" s="211"/>
      <c r="CV137" s="211"/>
      <c r="CW137" s="211"/>
      <c r="CX137" s="211"/>
      <c r="CY137" s="211"/>
      <c r="CZ137" s="211"/>
    </row>
    <row r="138" spans="1:104" s="647" customFormat="1">
      <c r="A138" s="281"/>
      <c r="B138" s="1595" t="s">
        <v>1260</v>
      </c>
      <c r="C138" s="142"/>
      <c r="D138" s="287"/>
      <c r="E138" s="142"/>
      <c r="F138" s="331">
        <v>-350000</v>
      </c>
      <c r="G138" s="1594"/>
      <c r="H138" s="316"/>
      <c r="I138" s="1594"/>
      <c r="J138" s="1594"/>
      <c r="K138" s="1594"/>
      <c r="L138" s="1594"/>
      <c r="M138" s="1594"/>
      <c r="N138" s="1594"/>
      <c r="O138" s="1594"/>
      <c r="P138" s="1594"/>
      <c r="Q138" s="539"/>
      <c r="R138" s="1594"/>
      <c r="S138" s="1594"/>
      <c r="T138" s="1594"/>
      <c r="U138" s="626"/>
      <c r="V138" s="646"/>
      <c r="W138" s="328"/>
      <c r="X138" s="328"/>
      <c r="Y138" s="328"/>
      <c r="Z138" s="328"/>
      <c r="AA138" s="211"/>
      <c r="AB138" s="211"/>
      <c r="AC138" s="328"/>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c r="BT138" s="211"/>
      <c r="BU138" s="211"/>
      <c r="BV138" s="211"/>
      <c r="BW138" s="211"/>
      <c r="BX138" s="211"/>
      <c r="BY138" s="211"/>
      <c r="BZ138" s="211"/>
      <c r="CA138" s="211"/>
      <c r="CB138" s="211"/>
      <c r="CC138" s="211"/>
      <c r="CD138" s="211"/>
      <c r="CE138" s="211"/>
      <c r="CF138" s="211"/>
      <c r="CG138" s="211"/>
      <c r="CH138" s="211"/>
      <c r="CI138" s="211"/>
      <c r="CJ138" s="211"/>
      <c r="CK138" s="211"/>
      <c r="CL138" s="211"/>
      <c r="CM138" s="211"/>
      <c r="CN138" s="211"/>
      <c r="CO138" s="211"/>
      <c r="CP138" s="211"/>
      <c r="CQ138" s="211"/>
      <c r="CR138" s="211"/>
      <c r="CS138" s="211"/>
      <c r="CT138" s="211"/>
      <c r="CU138" s="211"/>
      <c r="CV138" s="211"/>
      <c r="CW138" s="211"/>
      <c r="CX138" s="211"/>
      <c r="CY138" s="211"/>
      <c r="CZ138" s="211"/>
    </row>
    <row r="139" spans="1:104" s="647" customFormat="1">
      <c r="A139" s="281"/>
      <c r="B139" s="1587"/>
      <c r="C139" s="142"/>
      <c r="D139" s="1178"/>
      <c r="E139" s="142"/>
      <c r="F139" s="1178"/>
      <c r="G139" s="1594"/>
      <c r="H139" s="316"/>
      <c r="I139" s="1594"/>
      <c r="J139" s="1594"/>
      <c r="K139" s="1594"/>
      <c r="L139" s="1594"/>
      <c r="M139" s="1594"/>
      <c r="N139" s="1594"/>
      <c r="O139" s="1594"/>
      <c r="P139" s="1594"/>
      <c r="Q139" s="563"/>
      <c r="R139" s="1594"/>
      <c r="S139" s="1594"/>
      <c r="T139" s="1594"/>
      <c r="U139" s="648"/>
      <c r="V139" s="646"/>
      <c r="W139" s="328"/>
      <c r="X139" s="328"/>
      <c r="Y139" s="328"/>
      <c r="Z139" s="328"/>
      <c r="AA139" s="211"/>
      <c r="AB139" s="211"/>
      <c r="AC139" s="328"/>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c r="BT139" s="211"/>
      <c r="BU139" s="211"/>
      <c r="BV139" s="211"/>
      <c r="BW139" s="211"/>
      <c r="BX139" s="211"/>
      <c r="BY139" s="211"/>
      <c r="BZ139" s="211"/>
      <c r="CA139" s="211"/>
      <c r="CB139" s="211"/>
      <c r="CC139" s="211"/>
      <c r="CD139" s="211"/>
      <c r="CE139" s="211"/>
      <c r="CF139" s="211"/>
      <c r="CG139" s="211"/>
      <c r="CH139" s="211"/>
      <c r="CI139" s="211"/>
      <c r="CJ139" s="211"/>
      <c r="CK139" s="211"/>
      <c r="CL139" s="211"/>
      <c r="CM139" s="211"/>
      <c r="CN139" s="211"/>
      <c r="CO139" s="211"/>
      <c r="CP139" s="211"/>
      <c r="CQ139" s="211"/>
      <c r="CR139" s="211"/>
      <c r="CS139" s="211"/>
      <c r="CT139" s="211"/>
      <c r="CU139" s="211"/>
      <c r="CV139" s="211"/>
      <c r="CW139" s="211"/>
      <c r="CX139" s="211"/>
      <c r="CY139" s="211"/>
      <c r="CZ139" s="211"/>
    </row>
    <row r="140" spans="1:104" s="647" customFormat="1">
      <c r="A140" s="281"/>
      <c r="B140" s="211"/>
      <c r="C140" s="211"/>
      <c r="D140" s="328"/>
      <c r="E140" s="211"/>
      <c r="F140" s="328"/>
      <c r="G140" s="211"/>
      <c r="H140" s="329"/>
      <c r="I140" s="211"/>
      <c r="J140" s="211"/>
      <c r="K140" s="211"/>
      <c r="L140" s="211"/>
      <c r="M140" s="211"/>
      <c r="N140" s="211"/>
      <c r="O140" s="211"/>
      <c r="P140" s="211"/>
      <c r="Q140" s="211"/>
      <c r="R140" s="211"/>
      <c r="S140" s="211"/>
      <c r="T140" s="211"/>
      <c r="U140" s="645"/>
      <c r="V140" s="646"/>
      <c r="W140" s="328"/>
      <c r="X140" s="328"/>
      <c r="Y140" s="328"/>
      <c r="Z140" s="328"/>
      <c r="AA140" s="211"/>
      <c r="AB140" s="211"/>
      <c r="AC140" s="328"/>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c r="BT140" s="211"/>
      <c r="BU140" s="211"/>
      <c r="BV140" s="211"/>
      <c r="BW140" s="211"/>
      <c r="BX140" s="211"/>
      <c r="BY140" s="211"/>
      <c r="BZ140" s="211"/>
      <c r="CA140" s="211"/>
      <c r="CB140" s="211"/>
      <c r="CC140" s="211"/>
      <c r="CD140" s="211"/>
      <c r="CE140" s="211"/>
      <c r="CF140" s="211"/>
      <c r="CG140" s="211"/>
      <c r="CH140" s="211"/>
      <c r="CI140" s="211"/>
      <c r="CJ140" s="211"/>
      <c r="CK140" s="211"/>
      <c r="CL140" s="211"/>
      <c r="CM140" s="211"/>
      <c r="CN140" s="211"/>
      <c r="CO140" s="211"/>
      <c r="CP140" s="211"/>
      <c r="CQ140" s="211"/>
      <c r="CR140" s="211"/>
      <c r="CS140" s="211"/>
      <c r="CT140" s="211"/>
      <c r="CU140" s="211"/>
      <c r="CV140" s="211"/>
      <c r="CW140" s="211"/>
      <c r="CX140" s="211"/>
      <c r="CY140" s="211"/>
      <c r="CZ140" s="211"/>
    </row>
    <row r="141" spans="1:104" s="647" customFormat="1" ht="13.5" thickBot="1">
      <c r="A141" s="281"/>
      <c r="B141" s="142" t="s">
        <v>2121</v>
      </c>
      <c r="C141" s="211"/>
      <c r="D141" s="1179">
        <f>SUM(D137:D140)</f>
        <v>0</v>
      </c>
      <c r="E141" s="211"/>
      <c r="F141" s="1179">
        <f>SUM(F137:F140)</f>
        <v>0</v>
      </c>
      <c r="G141" s="211"/>
      <c r="H141" s="329"/>
      <c r="I141" s="211"/>
      <c r="J141" s="211"/>
      <c r="K141" s="211"/>
      <c r="L141" s="211"/>
      <c r="M141" s="211"/>
      <c r="N141" s="211"/>
      <c r="O141" s="211"/>
      <c r="P141" s="211"/>
      <c r="Q141" s="211"/>
      <c r="R141" s="211"/>
      <c r="S141" s="211"/>
      <c r="T141" s="211"/>
      <c r="U141" s="645"/>
      <c r="V141" s="646"/>
      <c r="W141" s="328"/>
      <c r="X141" s="328"/>
      <c r="Y141" s="328"/>
      <c r="Z141" s="328"/>
      <c r="AA141" s="211"/>
      <c r="AB141" s="211"/>
      <c r="AC141" s="328"/>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c r="BT141" s="211"/>
      <c r="BU141" s="211"/>
      <c r="BV141" s="211"/>
      <c r="BW141" s="211"/>
      <c r="BX141" s="211"/>
      <c r="BY141" s="211"/>
      <c r="BZ141" s="211"/>
      <c r="CA141" s="211"/>
      <c r="CB141" s="211"/>
      <c r="CC141" s="211"/>
      <c r="CD141" s="211"/>
      <c r="CE141" s="211"/>
      <c r="CF141" s="211"/>
      <c r="CG141" s="211"/>
      <c r="CH141" s="211"/>
      <c r="CI141" s="211"/>
      <c r="CJ141" s="211"/>
      <c r="CK141" s="211"/>
      <c r="CL141" s="211"/>
      <c r="CM141" s="211"/>
      <c r="CN141" s="211"/>
      <c r="CO141" s="211"/>
      <c r="CP141" s="211"/>
      <c r="CQ141" s="211"/>
      <c r="CR141" s="211"/>
      <c r="CS141" s="211"/>
      <c r="CT141" s="211"/>
      <c r="CU141" s="211"/>
      <c r="CV141" s="211"/>
      <c r="CW141" s="211"/>
      <c r="CX141" s="211"/>
      <c r="CY141" s="211"/>
      <c r="CZ141" s="211"/>
    </row>
    <row r="142" spans="1:104" s="647" customFormat="1" ht="13.5" thickTop="1">
      <c r="A142" s="281"/>
      <c r="B142" s="211"/>
      <c r="C142" s="211"/>
      <c r="D142" s="328"/>
      <c r="E142" s="211"/>
      <c r="F142" s="328"/>
      <c r="G142" s="211"/>
      <c r="H142" s="329"/>
      <c r="I142" s="211"/>
      <c r="J142" s="211"/>
      <c r="K142" s="211"/>
      <c r="L142" s="211"/>
      <c r="M142" s="211"/>
      <c r="N142" s="211"/>
      <c r="O142" s="211"/>
      <c r="P142" s="211"/>
      <c r="Q142" s="211"/>
      <c r="R142" s="211"/>
      <c r="S142" s="211"/>
      <c r="T142" s="211"/>
      <c r="U142" s="645"/>
      <c r="V142" s="646"/>
      <c r="W142" s="328"/>
      <c r="X142" s="328"/>
      <c r="Y142" s="328"/>
      <c r="Z142" s="328"/>
      <c r="AA142" s="211"/>
      <c r="AB142" s="211"/>
      <c r="AC142" s="328"/>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c r="BT142" s="211"/>
      <c r="BU142" s="211"/>
      <c r="BV142" s="211"/>
      <c r="BW142" s="211"/>
      <c r="BX142" s="211"/>
      <c r="BY142" s="211"/>
      <c r="BZ142" s="211"/>
      <c r="CA142" s="211"/>
      <c r="CB142" s="211"/>
      <c r="CC142" s="211"/>
      <c r="CD142" s="211"/>
      <c r="CE142" s="211"/>
      <c r="CF142" s="211"/>
      <c r="CG142" s="211"/>
      <c r="CH142" s="211"/>
      <c r="CI142" s="211"/>
      <c r="CJ142" s="211"/>
      <c r="CK142" s="211"/>
      <c r="CL142" s="211"/>
      <c r="CM142" s="211"/>
      <c r="CN142" s="211"/>
      <c r="CO142" s="211"/>
      <c r="CP142" s="211"/>
      <c r="CQ142" s="211"/>
      <c r="CR142" s="211"/>
      <c r="CS142" s="211"/>
      <c r="CT142" s="211"/>
      <c r="CU142" s="211"/>
      <c r="CV142" s="211"/>
      <c r="CW142" s="211"/>
      <c r="CX142" s="211"/>
      <c r="CY142" s="211"/>
      <c r="CZ142" s="211"/>
    </row>
    <row r="143" spans="1:104">
      <c r="A143" s="279"/>
      <c r="B143" s="314"/>
      <c r="C143" s="314"/>
      <c r="D143" s="315"/>
      <c r="E143" s="314"/>
      <c r="F143" s="315"/>
      <c r="G143" s="314"/>
      <c r="Q143" s="315"/>
      <c r="R143" s="314"/>
      <c r="S143" s="314"/>
      <c r="T143" s="314"/>
      <c r="U143" s="634"/>
      <c r="V143" s="635"/>
      <c r="W143" s="317"/>
      <c r="X143" s="317"/>
      <c r="Y143" s="317"/>
      <c r="Z143" s="317"/>
      <c r="AA143" s="1594"/>
      <c r="AB143" s="1594"/>
      <c r="AC143" s="317"/>
      <c r="AD143" s="1594"/>
      <c r="AE143" s="1594"/>
      <c r="AF143" s="1594"/>
      <c r="AG143" s="1594"/>
      <c r="AH143" s="1594"/>
      <c r="AI143" s="1594"/>
      <c r="AJ143" s="1594"/>
      <c r="AK143" s="1594"/>
      <c r="AL143" s="1594"/>
      <c r="AM143" s="1594"/>
      <c r="AN143" s="1594"/>
      <c r="AO143" s="1594"/>
      <c r="AP143" s="1594"/>
      <c r="AQ143" s="1594"/>
      <c r="AR143" s="1594"/>
      <c r="AS143" s="1594"/>
      <c r="AT143" s="1594"/>
      <c r="AU143" s="1594"/>
      <c r="AV143" s="1594"/>
      <c r="AW143" s="1594"/>
      <c r="AX143" s="1594"/>
      <c r="AY143" s="1594"/>
      <c r="AZ143" s="1594"/>
      <c r="BA143" s="1594"/>
      <c r="BB143" s="1594"/>
      <c r="BC143" s="1594"/>
      <c r="BD143" s="1594"/>
      <c r="BE143" s="1594"/>
      <c r="BF143" s="1594"/>
      <c r="BG143" s="1594"/>
      <c r="BH143" s="1594"/>
      <c r="BI143" s="1594"/>
      <c r="BJ143" s="1594"/>
      <c r="BK143" s="1594"/>
      <c r="BL143" s="1594"/>
      <c r="BM143" s="1594"/>
      <c r="BN143" s="1594"/>
      <c r="BO143" s="1594"/>
      <c r="BP143" s="1594"/>
      <c r="BQ143" s="1594"/>
      <c r="BR143" s="1594"/>
      <c r="BS143" s="1594"/>
      <c r="BT143" s="1594"/>
      <c r="BU143" s="1594"/>
      <c r="BV143" s="1594"/>
      <c r="BW143" s="1594"/>
      <c r="BX143" s="1594"/>
      <c r="BY143" s="1594"/>
      <c r="BZ143" s="1594"/>
      <c r="CA143" s="1594"/>
      <c r="CB143" s="1594"/>
      <c r="CC143" s="1594"/>
      <c r="CD143" s="1594"/>
      <c r="CE143" s="1594"/>
      <c r="CF143" s="1594"/>
      <c r="CG143" s="1594"/>
      <c r="CH143" s="1594"/>
      <c r="CI143" s="1594"/>
      <c r="CJ143" s="1594"/>
      <c r="CK143" s="1594"/>
      <c r="CL143" s="1594"/>
      <c r="CM143" s="1594"/>
      <c r="CN143" s="1594"/>
      <c r="CO143" s="1594"/>
      <c r="CP143" s="1594"/>
      <c r="CQ143" s="1594"/>
      <c r="CR143" s="1594"/>
      <c r="CS143" s="1594"/>
      <c r="CT143" s="1594"/>
      <c r="CU143" s="1594"/>
      <c r="CV143" s="1594"/>
      <c r="CW143" s="1594"/>
      <c r="CX143" s="1594"/>
      <c r="CY143" s="1594"/>
      <c r="CZ143" s="1594"/>
    </row>
    <row r="144" spans="1:104">
      <c r="A144" s="280"/>
      <c r="B144" s="321"/>
      <c r="C144" s="321"/>
      <c r="D144" s="322"/>
      <c r="E144" s="321"/>
      <c r="F144" s="322"/>
      <c r="G144" s="321"/>
      <c r="Q144" s="322"/>
      <c r="R144" s="321"/>
      <c r="S144" s="321"/>
      <c r="T144" s="321"/>
      <c r="U144" s="622"/>
      <c r="V144" s="623"/>
      <c r="W144" s="317"/>
      <c r="X144" s="317"/>
      <c r="Y144" s="317"/>
      <c r="Z144" s="317"/>
      <c r="AA144" s="317"/>
      <c r="AB144" s="1594"/>
      <c r="AC144" s="317"/>
      <c r="AD144" s="1594"/>
      <c r="AE144" s="1594"/>
      <c r="AF144" s="1594"/>
      <c r="AG144" s="1594"/>
      <c r="AH144" s="1594"/>
      <c r="AI144" s="1594"/>
      <c r="AJ144" s="1594"/>
      <c r="AK144" s="1594"/>
      <c r="AL144" s="1594"/>
      <c r="AM144" s="1594"/>
      <c r="AN144" s="1594"/>
      <c r="AO144" s="1594"/>
      <c r="AP144" s="1594"/>
      <c r="AQ144" s="1594"/>
      <c r="AR144" s="1594"/>
      <c r="AS144" s="1594"/>
      <c r="AT144" s="1594"/>
      <c r="AU144" s="1594"/>
      <c r="AV144" s="1594"/>
      <c r="AW144" s="1594"/>
      <c r="AX144" s="1594"/>
      <c r="AY144" s="1594"/>
      <c r="AZ144" s="1594"/>
      <c r="BA144" s="1594"/>
      <c r="BB144" s="1594"/>
      <c r="BC144" s="1594"/>
      <c r="BD144" s="1594"/>
      <c r="BE144" s="1594"/>
      <c r="BF144" s="1594"/>
      <c r="BG144" s="1594"/>
      <c r="BH144" s="1594"/>
      <c r="BI144" s="1594"/>
      <c r="BJ144" s="1594"/>
      <c r="BK144" s="1594"/>
      <c r="BL144" s="1594"/>
      <c r="BM144" s="1594"/>
      <c r="BN144" s="1594"/>
      <c r="BO144" s="1594"/>
      <c r="BP144" s="1594"/>
      <c r="BQ144" s="1594"/>
      <c r="BR144" s="1594"/>
      <c r="BS144" s="1594"/>
      <c r="BT144" s="1594"/>
      <c r="BU144" s="1594"/>
      <c r="BV144" s="1594"/>
      <c r="BW144" s="1594"/>
      <c r="BX144" s="1594"/>
      <c r="BY144" s="1594"/>
      <c r="BZ144" s="1594"/>
      <c r="CA144" s="1594"/>
      <c r="CB144" s="1594"/>
      <c r="CC144" s="1594"/>
      <c r="CD144" s="1594"/>
      <c r="CE144" s="1594"/>
      <c r="CF144" s="1594"/>
      <c r="CG144" s="1594"/>
      <c r="CH144" s="1594"/>
      <c r="CI144" s="1594"/>
      <c r="CJ144" s="1594"/>
      <c r="CK144" s="1594"/>
      <c r="CL144" s="1594"/>
      <c r="CM144" s="1594"/>
      <c r="CN144" s="1594"/>
      <c r="CO144" s="1594"/>
      <c r="CP144" s="1594"/>
      <c r="CQ144" s="1594"/>
      <c r="CR144" s="1594"/>
      <c r="CS144" s="1594"/>
      <c r="CT144" s="1594"/>
      <c r="CU144" s="1594"/>
      <c r="CV144" s="1594"/>
      <c r="CW144" s="1594"/>
      <c r="CX144" s="1594"/>
      <c r="CY144" s="1594"/>
      <c r="CZ144" s="1594"/>
    </row>
    <row r="145" spans="1:104">
      <c r="A145" s="1584"/>
      <c r="B145" s="1585"/>
      <c r="C145" s="1585"/>
      <c r="D145" s="140" t="s">
        <v>2077</v>
      </c>
      <c r="E145" s="1585"/>
      <c r="F145" s="140" t="s">
        <v>1796</v>
      </c>
      <c r="G145" s="1585"/>
      <c r="H145" s="184"/>
      <c r="I145" s="1585"/>
      <c r="J145" s="1585"/>
      <c r="K145" s="1585"/>
      <c r="L145" s="1585"/>
      <c r="M145" s="1585"/>
      <c r="N145" s="1585"/>
      <c r="O145" s="1585"/>
      <c r="P145" s="1585"/>
      <c r="Q145" s="276" t="s">
        <v>1452</v>
      </c>
      <c r="R145" s="1585"/>
      <c r="S145" s="1585"/>
      <c r="T145" s="1585"/>
      <c r="U145" s="225" t="s">
        <v>1036</v>
      </c>
      <c r="V145" s="1586"/>
      <c r="W145" s="317"/>
      <c r="X145" s="317"/>
      <c r="Y145" s="317"/>
      <c r="Z145" s="317"/>
      <c r="AA145" s="317"/>
      <c r="AB145" s="1594"/>
      <c r="AC145" s="317"/>
      <c r="AD145" s="1594"/>
      <c r="AE145" s="1594"/>
      <c r="AF145" s="1594"/>
      <c r="AG145" s="1594"/>
      <c r="AH145" s="1594"/>
      <c r="AI145" s="1594"/>
      <c r="AJ145" s="1594"/>
      <c r="AK145" s="1594"/>
      <c r="AL145" s="1594"/>
      <c r="AM145" s="1594"/>
      <c r="AN145" s="1594"/>
      <c r="AO145" s="1594"/>
      <c r="AP145" s="1594"/>
      <c r="AQ145" s="1594"/>
      <c r="AR145" s="1594"/>
      <c r="AS145" s="1594"/>
      <c r="AT145" s="1594"/>
      <c r="AU145" s="1594"/>
      <c r="AV145" s="1594"/>
      <c r="AW145" s="1594"/>
      <c r="AX145" s="1594"/>
      <c r="AY145" s="1594"/>
      <c r="AZ145" s="1594"/>
      <c r="BA145" s="1594"/>
      <c r="BB145" s="1594"/>
      <c r="BC145" s="1594"/>
      <c r="BD145" s="1594"/>
      <c r="BE145" s="1594"/>
      <c r="BF145" s="1594"/>
      <c r="BG145" s="1594"/>
      <c r="BH145" s="1594"/>
      <c r="BI145" s="1594"/>
      <c r="BJ145" s="1594"/>
      <c r="BK145" s="1594"/>
      <c r="BL145" s="1594"/>
      <c r="BM145" s="1594"/>
      <c r="BN145" s="1594"/>
      <c r="BO145" s="1594"/>
      <c r="BP145" s="1594"/>
      <c r="BQ145" s="1594"/>
      <c r="BR145" s="1594"/>
      <c r="BS145" s="1594"/>
      <c r="BT145" s="1594"/>
      <c r="BU145" s="1594"/>
      <c r="BV145" s="1594"/>
      <c r="BW145" s="1594"/>
      <c r="BX145" s="1594"/>
      <c r="BY145" s="1594"/>
      <c r="BZ145" s="1594"/>
      <c r="CA145" s="1594"/>
      <c r="CB145" s="1594"/>
      <c r="CC145" s="1594"/>
      <c r="CD145" s="1594"/>
      <c r="CE145" s="1594"/>
      <c r="CF145" s="1594"/>
      <c r="CG145" s="1594"/>
      <c r="CH145" s="1594"/>
      <c r="CI145" s="1594"/>
      <c r="CJ145" s="1594"/>
      <c r="CK145" s="1594"/>
      <c r="CL145" s="1594"/>
      <c r="CM145" s="1594"/>
      <c r="CN145" s="1594"/>
      <c r="CO145" s="1594"/>
      <c r="CP145" s="1594"/>
      <c r="CQ145" s="1594"/>
      <c r="CR145" s="1594"/>
      <c r="CS145" s="1594"/>
      <c r="CT145" s="1594"/>
      <c r="CU145" s="1594"/>
      <c r="CV145" s="1594"/>
      <c r="CW145" s="1594"/>
      <c r="CX145" s="1594"/>
      <c r="CY145" s="1594"/>
      <c r="CZ145" s="1594"/>
    </row>
    <row r="146" spans="1:104">
      <c r="A146" s="1584"/>
      <c r="B146" s="1585"/>
      <c r="C146" s="1585"/>
      <c r="D146" s="1191"/>
      <c r="E146" s="1585"/>
      <c r="F146" s="1191"/>
      <c r="G146" s="1585"/>
      <c r="H146" s="184"/>
      <c r="I146" s="1585"/>
      <c r="J146" s="1585"/>
      <c r="K146" s="1585"/>
      <c r="L146" s="1585"/>
      <c r="M146" s="1585"/>
      <c r="N146" s="1585"/>
      <c r="O146" s="1585"/>
      <c r="P146" s="1585"/>
      <c r="Q146" s="1191" t="s">
        <v>1314</v>
      </c>
      <c r="R146" s="1585"/>
      <c r="S146" s="1585"/>
      <c r="T146" s="1585"/>
      <c r="U146" s="226" t="s">
        <v>1314</v>
      </c>
      <c r="V146" s="1586"/>
      <c r="W146" s="317"/>
      <c r="X146" s="317"/>
      <c r="Y146" s="317"/>
      <c r="Z146" s="317"/>
      <c r="AA146" s="317"/>
      <c r="AB146" s="1594"/>
      <c r="AC146" s="317"/>
      <c r="AD146" s="1594"/>
      <c r="AE146" s="1594"/>
      <c r="AF146" s="1594"/>
      <c r="AG146" s="1594"/>
      <c r="AH146" s="1594"/>
      <c r="AI146" s="1594"/>
      <c r="AJ146" s="1594"/>
      <c r="AK146" s="1594"/>
      <c r="AL146" s="1594"/>
      <c r="AM146" s="1594"/>
      <c r="AN146" s="1594"/>
      <c r="AO146" s="1594"/>
      <c r="AP146" s="1594"/>
      <c r="AQ146" s="1594"/>
      <c r="AR146" s="1594"/>
      <c r="AS146" s="1594"/>
      <c r="AT146" s="1594"/>
      <c r="AU146" s="1594"/>
      <c r="AV146" s="1594"/>
      <c r="AW146" s="1594"/>
      <c r="AX146" s="1594"/>
      <c r="AY146" s="1594"/>
      <c r="AZ146" s="1594"/>
      <c r="BA146" s="1594"/>
      <c r="BB146" s="1594"/>
      <c r="BC146" s="1594"/>
      <c r="BD146" s="1594"/>
      <c r="BE146" s="1594"/>
      <c r="BF146" s="1594"/>
      <c r="BG146" s="1594"/>
      <c r="BH146" s="1594"/>
      <c r="BI146" s="1594"/>
      <c r="BJ146" s="1594"/>
      <c r="BK146" s="1594"/>
      <c r="BL146" s="1594"/>
      <c r="BM146" s="1594"/>
      <c r="BN146" s="1594"/>
      <c r="BO146" s="1594"/>
      <c r="BP146" s="1594"/>
      <c r="BQ146" s="1594"/>
      <c r="BR146" s="1594"/>
      <c r="BS146" s="1594"/>
      <c r="BT146" s="1594"/>
      <c r="BU146" s="1594"/>
      <c r="BV146" s="1594"/>
      <c r="BW146" s="1594"/>
      <c r="BX146" s="1594"/>
      <c r="BY146" s="1594"/>
      <c r="BZ146" s="1594"/>
      <c r="CA146" s="1594"/>
      <c r="CB146" s="1594"/>
      <c r="CC146" s="1594"/>
      <c r="CD146" s="1594"/>
      <c r="CE146" s="1594"/>
      <c r="CF146" s="1594"/>
      <c r="CG146" s="1594"/>
      <c r="CH146" s="1594"/>
      <c r="CI146" s="1594"/>
      <c r="CJ146" s="1594"/>
      <c r="CK146" s="1594"/>
      <c r="CL146" s="1594"/>
      <c r="CM146" s="1594"/>
      <c r="CN146" s="1594"/>
      <c r="CO146" s="1594"/>
      <c r="CP146" s="1594"/>
      <c r="CQ146" s="1594"/>
      <c r="CR146" s="1594"/>
      <c r="CS146" s="1594"/>
      <c r="CT146" s="1594"/>
      <c r="CU146" s="1594"/>
      <c r="CV146" s="1594"/>
      <c r="CW146" s="1594"/>
      <c r="CX146" s="1594"/>
      <c r="CY146" s="1594"/>
      <c r="CZ146" s="1594"/>
    </row>
    <row r="147" spans="1:104">
      <c r="A147" s="1584">
        <v>22</v>
      </c>
      <c r="B147" s="141" t="s">
        <v>2127</v>
      </c>
      <c r="C147" s="1585"/>
      <c r="D147" s="1191"/>
      <c r="E147" s="1585"/>
      <c r="F147" s="1191"/>
      <c r="G147" s="1585"/>
      <c r="H147" s="184"/>
      <c r="I147" s="1585"/>
      <c r="J147" s="1585"/>
      <c r="K147" s="1585"/>
      <c r="L147" s="1585"/>
      <c r="M147" s="1585"/>
      <c r="N147" s="1585"/>
      <c r="O147" s="1585"/>
      <c r="P147" s="1585"/>
      <c r="Q147" s="1191"/>
      <c r="R147" s="1585"/>
      <c r="S147" s="1585"/>
      <c r="T147" s="1585"/>
      <c r="U147" s="226"/>
      <c r="V147" s="1586"/>
      <c r="W147" s="317"/>
      <c r="X147" s="317"/>
      <c r="Y147" s="317"/>
      <c r="Z147" s="317"/>
      <c r="AA147" s="317"/>
      <c r="AB147" s="1594"/>
      <c r="AC147" s="317"/>
      <c r="AD147" s="1594"/>
      <c r="AE147" s="1594"/>
      <c r="AF147" s="1594"/>
      <c r="AG147" s="1594"/>
      <c r="AH147" s="1594"/>
      <c r="AI147" s="1594"/>
      <c r="AJ147" s="1594"/>
      <c r="AK147" s="1594"/>
      <c r="AL147" s="1594"/>
      <c r="AM147" s="1594"/>
      <c r="AN147" s="1594"/>
      <c r="AO147" s="1594"/>
      <c r="AP147" s="1594"/>
      <c r="AQ147" s="1594"/>
      <c r="AR147" s="1594"/>
      <c r="AS147" s="1594"/>
      <c r="AT147" s="1594"/>
      <c r="AU147" s="1594"/>
      <c r="AV147" s="1594"/>
      <c r="AW147" s="1594"/>
      <c r="AX147" s="1594"/>
      <c r="AY147" s="1594"/>
      <c r="AZ147" s="1594"/>
      <c r="BA147" s="1594"/>
      <c r="BB147" s="1594"/>
      <c r="BC147" s="1594"/>
      <c r="BD147" s="1594"/>
      <c r="BE147" s="1594"/>
      <c r="BF147" s="1594"/>
      <c r="BG147" s="1594"/>
      <c r="BH147" s="1594"/>
      <c r="BI147" s="1594"/>
      <c r="BJ147" s="1594"/>
      <c r="BK147" s="1594"/>
      <c r="BL147" s="1594"/>
      <c r="BM147" s="1594"/>
      <c r="BN147" s="1594"/>
      <c r="BO147" s="1594"/>
      <c r="BP147" s="1594"/>
      <c r="BQ147" s="1594"/>
      <c r="BR147" s="1594"/>
      <c r="BS147" s="1594"/>
      <c r="BT147" s="1594"/>
      <c r="BU147" s="1594"/>
      <c r="BV147" s="1594"/>
      <c r="BW147" s="1594"/>
      <c r="BX147" s="1594"/>
      <c r="BY147" s="1594"/>
      <c r="BZ147" s="1594"/>
      <c r="CA147" s="1594"/>
      <c r="CB147" s="1594"/>
      <c r="CC147" s="1594"/>
      <c r="CD147" s="1594"/>
      <c r="CE147" s="1594"/>
      <c r="CF147" s="1594"/>
      <c r="CG147" s="1594"/>
      <c r="CH147" s="1594"/>
      <c r="CI147" s="1594"/>
      <c r="CJ147" s="1594"/>
      <c r="CK147" s="1594"/>
      <c r="CL147" s="1594"/>
      <c r="CM147" s="1594"/>
      <c r="CN147" s="1594"/>
      <c r="CO147" s="1594"/>
      <c r="CP147" s="1594"/>
      <c r="CQ147" s="1594"/>
      <c r="CR147" s="1594"/>
      <c r="CS147" s="1594"/>
      <c r="CT147" s="1594"/>
      <c r="CU147" s="1594"/>
      <c r="CV147" s="1594"/>
      <c r="CW147" s="1594"/>
      <c r="CX147" s="1594"/>
      <c r="CY147" s="1594"/>
      <c r="CZ147" s="1594"/>
    </row>
    <row r="148" spans="1:104">
      <c r="A148" s="1584"/>
      <c r="B148" s="1585"/>
      <c r="C148" s="1585"/>
      <c r="D148" s="1191"/>
      <c r="E148" s="1585"/>
      <c r="F148" s="1191"/>
      <c r="G148" s="1585"/>
      <c r="H148" s="184"/>
      <c r="I148" s="1585"/>
      <c r="J148" s="1585"/>
      <c r="K148" s="1585"/>
      <c r="L148" s="1585"/>
      <c r="M148" s="1585"/>
      <c r="N148" s="1585"/>
      <c r="O148" s="1585"/>
      <c r="P148" s="1585"/>
      <c r="Q148" s="1191"/>
      <c r="R148" s="1585"/>
      <c r="S148" s="1585"/>
      <c r="T148" s="1585"/>
      <c r="U148" s="226"/>
      <c r="V148" s="1586"/>
      <c r="W148" s="317"/>
      <c r="X148" s="317"/>
      <c r="Y148" s="317"/>
      <c r="Z148" s="317"/>
      <c r="AA148" s="317"/>
      <c r="AB148" s="1594"/>
      <c r="AC148" s="317"/>
      <c r="AD148" s="1594"/>
      <c r="AE148" s="1594"/>
      <c r="AF148" s="1594"/>
      <c r="AG148" s="1594"/>
      <c r="AH148" s="1594"/>
      <c r="AI148" s="1594"/>
      <c r="AJ148" s="1594"/>
      <c r="AK148" s="1594"/>
      <c r="AL148" s="1594"/>
      <c r="AM148" s="1594"/>
      <c r="AN148" s="1594"/>
      <c r="AO148" s="1594"/>
      <c r="AP148" s="1594"/>
      <c r="AQ148" s="1594"/>
      <c r="AR148" s="1594"/>
      <c r="AS148" s="1594"/>
      <c r="AT148" s="1594"/>
      <c r="AU148" s="1594"/>
      <c r="AV148" s="1594"/>
      <c r="AW148" s="1594"/>
      <c r="AX148" s="1594"/>
      <c r="AY148" s="1594"/>
      <c r="AZ148" s="1594"/>
      <c r="BA148" s="1594"/>
      <c r="BB148" s="1594"/>
      <c r="BC148" s="1594"/>
      <c r="BD148" s="1594"/>
      <c r="BE148" s="1594"/>
      <c r="BF148" s="1594"/>
      <c r="BG148" s="1594"/>
      <c r="BH148" s="1594"/>
      <c r="BI148" s="1594"/>
      <c r="BJ148" s="1594"/>
      <c r="BK148" s="1594"/>
      <c r="BL148" s="1594"/>
      <c r="BM148" s="1594"/>
      <c r="BN148" s="1594"/>
      <c r="BO148" s="1594"/>
      <c r="BP148" s="1594"/>
      <c r="BQ148" s="1594"/>
      <c r="BR148" s="1594"/>
      <c r="BS148" s="1594"/>
      <c r="BT148" s="1594"/>
      <c r="BU148" s="1594"/>
      <c r="BV148" s="1594"/>
      <c r="BW148" s="1594"/>
      <c r="BX148" s="1594"/>
      <c r="BY148" s="1594"/>
      <c r="BZ148" s="1594"/>
      <c r="CA148" s="1594"/>
      <c r="CB148" s="1594"/>
      <c r="CC148" s="1594"/>
      <c r="CD148" s="1594"/>
      <c r="CE148" s="1594"/>
      <c r="CF148" s="1594"/>
      <c r="CG148" s="1594"/>
      <c r="CH148" s="1594"/>
      <c r="CI148" s="1594"/>
      <c r="CJ148" s="1594"/>
      <c r="CK148" s="1594"/>
      <c r="CL148" s="1594"/>
      <c r="CM148" s="1594"/>
      <c r="CN148" s="1594"/>
      <c r="CO148" s="1594"/>
      <c r="CP148" s="1594"/>
      <c r="CQ148" s="1594"/>
      <c r="CR148" s="1594"/>
      <c r="CS148" s="1594"/>
      <c r="CT148" s="1594"/>
      <c r="CU148" s="1594"/>
      <c r="CV148" s="1594"/>
      <c r="CW148" s="1594"/>
      <c r="CX148" s="1594"/>
      <c r="CY148" s="1594"/>
      <c r="CZ148" s="1594"/>
    </row>
    <row r="149" spans="1:104">
      <c r="A149" s="1584">
        <v>22.1</v>
      </c>
      <c r="B149" s="1595" t="s">
        <v>1297</v>
      </c>
      <c r="C149" s="1595"/>
      <c r="D149" s="319">
        <f>-'TRAIL BALANCE'!F148-'TRAIL BALANCE'!F302</f>
        <v>94239.28</v>
      </c>
      <c r="E149" s="1595"/>
      <c r="F149" s="319">
        <f>-SUM('TRAIL BALANCE'!E148+'TRAIL BALANCE'!E300)</f>
        <v>112244.03</v>
      </c>
      <c r="G149" s="1585"/>
      <c r="H149" s="184"/>
      <c r="I149" s="1585"/>
      <c r="J149" s="1585"/>
      <c r="K149" s="1585"/>
      <c r="L149" s="1585"/>
      <c r="M149" s="1585"/>
      <c r="N149" s="1585"/>
      <c r="O149" s="1585"/>
      <c r="P149" s="1585"/>
      <c r="Q149" s="1191"/>
      <c r="R149" s="1585"/>
      <c r="S149" s="1585"/>
      <c r="T149" s="1585"/>
      <c r="U149" s="226"/>
      <c r="V149" s="1586"/>
      <c r="W149" s="317"/>
      <c r="X149" s="317"/>
      <c r="Y149" s="317"/>
      <c r="Z149" s="317"/>
      <c r="AA149" s="317"/>
      <c r="AB149" s="1594"/>
      <c r="AC149" s="317"/>
      <c r="AD149" s="1594"/>
      <c r="AE149" s="1594"/>
      <c r="AF149" s="1594"/>
      <c r="AG149" s="1594"/>
      <c r="AH149" s="1594"/>
      <c r="AI149" s="1594"/>
      <c r="AJ149" s="1594"/>
      <c r="AK149" s="1594"/>
      <c r="AL149" s="1594"/>
      <c r="AM149" s="1594"/>
      <c r="AN149" s="1594"/>
      <c r="AO149" s="1594"/>
      <c r="AP149" s="1594"/>
      <c r="AQ149" s="1594"/>
      <c r="AR149" s="1594"/>
      <c r="AS149" s="1594"/>
      <c r="AT149" s="1594"/>
      <c r="AU149" s="1594"/>
      <c r="AV149" s="1594"/>
      <c r="AW149" s="1594"/>
      <c r="AX149" s="1594"/>
      <c r="AY149" s="1594"/>
      <c r="AZ149" s="1594"/>
      <c r="BA149" s="1594"/>
      <c r="BB149" s="1594"/>
      <c r="BC149" s="1594"/>
      <c r="BD149" s="1594"/>
      <c r="BE149" s="1594"/>
      <c r="BF149" s="1594"/>
      <c r="BG149" s="1594"/>
      <c r="BH149" s="1594"/>
      <c r="BI149" s="1594"/>
      <c r="BJ149" s="1594"/>
      <c r="BK149" s="1594"/>
      <c r="BL149" s="1594"/>
      <c r="BM149" s="1594"/>
      <c r="BN149" s="1594"/>
      <c r="BO149" s="1594"/>
      <c r="BP149" s="1594"/>
      <c r="BQ149" s="1594"/>
      <c r="BR149" s="1594"/>
      <c r="BS149" s="1594"/>
      <c r="BT149" s="1594"/>
      <c r="BU149" s="1594"/>
      <c r="BV149" s="1594"/>
      <c r="BW149" s="1594"/>
      <c r="BX149" s="1594"/>
      <c r="BY149" s="1594"/>
      <c r="BZ149" s="1594"/>
      <c r="CA149" s="1594"/>
      <c r="CB149" s="1594"/>
      <c r="CC149" s="1594"/>
      <c r="CD149" s="1594"/>
      <c r="CE149" s="1594"/>
      <c r="CF149" s="1594"/>
      <c r="CG149" s="1594"/>
      <c r="CH149" s="1594"/>
      <c r="CI149" s="1594"/>
      <c r="CJ149" s="1594"/>
      <c r="CK149" s="1594"/>
      <c r="CL149" s="1594"/>
      <c r="CM149" s="1594"/>
      <c r="CN149" s="1594"/>
      <c r="CO149" s="1594"/>
      <c r="CP149" s="1594"/>
      <c r="CQ149" s="1594"/>
      <c r="CR149" s="1594"/>
      <c r="CS149" s="1594"/>
      <c r="CT149" s="1594"/>
      <c r="CU149" s="1594"/>
      <c r="CV149" s="1594"/>
      <c r="CW149" s="1594"/>
      <c r="CX149" s="1594"/>
      <c r="CY149" s="1594"/>
      <c r="CZ149" s="1594"/>
    </row>
    <row r="150" spans="1:104">
      <c r="A150" s="1584"/>
      <c r="B150" s="1595" t="s">
        <v>1298</v>
      </c>
      <c r="C150" s="1595"/>
      <c r="D150" s="213">
        <v>0</v>
      </c>
      <c r="E150" s="1595"/>
      <c r="F150" s="213">
        <v>0</v>
      </c>
      <c r="G150" s="1585"/>
      <c r="H150" s="184"/>
      <c r="I150" s="1585"/>
      <c r="J150" s="1585"/>
      <c r="K150" s="1585"/>
      <c r="L150" s="1585"/>
      <c r="M150" s="1585"/>
      <c r="N150" s="1585"/>
      <c r="O150" s="1585"/>
      <c r="P150" s="1585"/>
      <c r="Q150" s="1191"/>
      <c r="R150" s="1585"/>
      <c r="S150" s="1585"/>
      <c r="T150" s="1585"/>
      <c r="U150" s="226"/>
      <c r="V150" s="1586"/>
      <c r="W150" s="317"/>
      <c r="X150" s="317"/>
      <c r="Y150" s="317"/>
      <c r="Z150" s="317"/>
      <c r="AA150" s="317"/>
      <c r="AB150" s="1594"/>
      <c r="AC150" s="317"/>
      <c r="AD150" s="1594"/>
      <c r="AE150" s="1594"/>
      <c r="AF150" s="1594"/>
      <c r="AG150" s="1594"/>
      <c r="AH150" s="1594"/>
      <c r="AI150" s="1594"/>
      <c r="AJ150" s="1594"/>
      <c r="AK150" s="1594"/>
      <c r="AL150" s="1594"/>
      <c r="AM150" s="1594"/>
      <c r="AN150" s="1594"/>
      <c r="AO150" s="1594"/>
      <c r="AP150" s="1594"/>
      <c r="AQ150" s="1594"/>
      <c r="AR150" s="1594"/>
      <c r="AS150" s="1594"/>
      <c r="AT150" s="1594"/>
      <c r="AU150" s="1594"/>
      <c r="AV150" s="1594"/>
      <c r="AW150" s="1594"/>
      <c r="AX150" s="1594"/>
      <c r="AY150" s="1594"/>
      <c r="AZ150" s="1594"/>
      <c r="BA150" s="1594"/>
      <c r="BB150" s="1594"/>
      <c r="BC150" s="1594"/>
      <c r="BD150" s="1594"/>
      <c r="BE150" s="1594"/>
      <c r="BF150" s="1594"/>
      <c r="BG150" s="1594"/>
      <c r="BH150" s="1594"/>
      <c r="BI150" s="1594"/>
      <c r="BJ150" s="1594"/>
      <c r="BK150" s="1594"/>
      <c r="BL150" s="1594"/>
      <c r="BM150" s="1594"/>
      <c r="BN150" s="1594"/>
      <c r="BO150" s="1594"/>
      <c r="BP150" s="1594"/>
      <c r="BQ150" s="1594"/>
      <c r="BR150" s="1594"/>
      <c r="BS150" s="1594"/>
      <c r="BT150" s="1594"/>
      <c r="BU150" s="1594"/>
      <c r="BV150" s="1594"/>
      <c r="BW150" s="1594"/>
      <c r="BX150" s="1594"/>
      <c r="BY150" s="1594"/>
      <c r="BZ150" s="1594"/>
      <c r="CA150" s="1594"/>
      <c r="CB150" s="1594"/>
      <c r="CC150" s="1594"/>
      <c r="CD150" s="1594"/>
      <c r="CE150" s="1594"/>
      <c r="CF150" s="1594"/>
      <c r="CG150" s="1594"/>
      <c r="CH150" s="1594"/>
      <c r="CI150" s="1594"/>
      <c r="CJ150" s="1594"/>
      <c r="CK150" s="1594"/>
      <c r="CL150" s="1594"/>
      <c r="CM150" s="1594"/>
      <c r="CN150" s="1594"/>
      <c r="CO150" s="1594"/>
      <c r="CP150" s="1594"/>
      <c r="CQ150" s="1594"/>
      <c r="CR150" s="1594"/>
      <c r="CS150" s="1594"/>
      <c r="CT150" s="1594"/>
      <c r="CU150" s="1594"/>
      <c r="CV150" s="1594"/>
      <c r="CW150" s="1594"/>
      <c r="CX150" s="1594"/>
      <c r="CY150" s="1594"/>
      <c r="CZ150" s="1594"/>
    </row>
    <row r="151" spans="1:104">
      <c r="A151" s="1584"/>
      <c r="B151" s="1595" t="s">
        <v>1315</v>
      </c>
      <c r="C151" s="1595"/>
      <c r="D151" s="213">
        <f>-'TRAIL BALANCE'!F376</f>
        <v>13580114.220000001</v>
      </c>
      <c r="E151" s="1595"/>
      <c r="F151" s="213">
        <f>-SUM('TRAIL BALANCE'!E372)</f>
        <v>792062.21</v>
      </c>
      <c r="G151" s="1585"/>
      <c r="H151" s="184"/>
      <c r="I151" s="1585"/>
      <c r="J151" s="1585"/>
      <c r="K151" s="1585"/>
      <c r="L151" s="1585"/>
      <c r="M151" s="1585"/>
      <c r="N151" s="1585"/>
      <c r="O151" s="1585"/>
      <c r="P151" s="1585"/>
      <c r="Q151" s="1191"/>
      <c r="R151" s="1585"/>
      <c r="S151" s="1585"/>
      <c r="T151" s="1585"/>
      <c r="U151" s="226"/>
      <c r="V151" s="1586"/>
      <c r="W151" s="317"/>
      <c r="X151" s="317"/>
      <c r="Y151" s="317"/>
      <c r="Z151" s="317"/>
      <c r="AA151" s="317"/>
      <c r="AB151" s="1594"/>
      <c r="AC151" s="317"/>
      <c r="AD151" s="1594"/>
      <c r="AE151" s="1594"/>
      <c r="AF151" s="1594"/>
      <c r="AG151" s="1594"/>
      <c r="AH151" s="1594"/>
      <c r="AI151" s="1594"/>
      <c r="AJ151" s="1594"/>
      <c r="AK151" s="1594"/>
      <c r="AL151" s="1594"/>
      <c r="AM151" s="1594"/>
      <c r="AN151" s="1594"/>
      <c r="AO151" s="1594"/>
      <c r="AP151" s="1594"/>
      <c r="AQ151" s="1594"/>
      <c r="AR151" s="1594"/>
      <c r="AS151" s="1594"/>
      <c r="AT151" s="1594"/>
      <c r="AU151" s="1594"/>
      <c r="AV151" s="1594"/>
      <c r="AW151" s="1594"/>
      <c r="AX151" s="1594"/>
      <c r="AY151" s="1594"/>
      <c r="AZ151" s="1594"/>
      <c r="BA151" s="1594"/>
      <c r="BB151" s="1594"/>
      <c r="BC151" s="1594"/>
      <c r="BD151" s="1594"/>
      <c r="BE151" s="1594"/>
      <c r="BF151" s="1594"/>
      <c r="BG151" s="1594"/>
      <c r="BH151" s="1594"/>
      <c r="BI151" s="1594"/>
      <c r="BJ151" s="1594"/>
      <c r="BK151" s="1594"/>
      <c r="BL151" s="1594"/>
      <c r="BM151" s="1594"/>
      <c r="BN151" s="1594"/>
      <c r="BO151" s="1594"/>
      <c r="BP151" s="1594"/>
      <c r="BQ151" s="1594"/>
      <c r="BR151" s="1594"/>
      <c r="BS151" s="1594"/>
      <c r="BT151" s="1594"/>
      <c r="BU151" s="1594"/>
      <c r="BV151" s="1594"/>
      <c r="BW151" s="1594"/>
      <c r="BX151" s="1594"/>
      <c r="BY151" s="1594"/>
      <c r="BZ151" s="1594"/>
      <c r="CA151" s="1594"/>
      <c r="CB151" s="1594"/>
      <c r="CC151" s="1594"/>
      <c r="CD151" s="1594"/>
      <c r="CE151" s="1594"/>
      <c r="CF151" s="1594"/>
      <c r="CG151" s="1594"/>
      <c r="CH151" s="1594"/>
      <c r="CI151" s="1594"/>
      <c r="CJ151" s="1594"/>
      <c r="CK151" s="1594"/>
      <c r="CL151" s="1594"/>
      <c r="CM151" s="1594"/>
      <c r="CN151" s="1594"/>
      <c r="CO151" s="1594"/>
      <c r="CP151" s="1594"/>
      <c r="CQ151" s="1594"/>
      <c r="CR151" s="1594"/>
      <c r="CS151" s="1594"/>
      <c r="CT151" s="1594"/>
      <c r="CU151" s="1594"/>
      <c r="CV151" s="1594"/>
      <c r="CW151" s="1594"/>
      <c r="CX151" s="1594"/>
      <c r="CY151" s="1594"/>
      <c r="CZ151" s="1594"/>
    </row>
    <row r="152" spans="1:104">
      <c r="A152" s="1584"/>
      <c r="B152" s="1595" t="s">
        <v>1810</v>
      </c>
      <c r="C152" s="1595"/>
      <c r="D152" s="213">
        <f>-SUM('TRAIL BALANCE'!F6)</f>
        <v>0</v>
      </c>
      <c r="E152" s="1595"/>
      <c r="F152" s="213">
        <f>-SUM('TRAIL BALANCE'!E6)</f>
        <v>13191.93</v>
      </c>
      <c r="G152" s="1585"/>
      <c r="H152" s="184"/>
      <c r="I152" s="1585"/>
      <c r="J152" s="1585"/>
      <c r="K152" s="1585"/>
      <c r="L152" s="1585"/>
      <c r="M152" s="1585"/>
      <c r="N152" s="1585"/>
      <c r="O152" s="1585"/>
      <c r="P152" s="1585"/>
      <c r="Q152" s="1191"/>
      <c r="R152" s="1585"/>
      <c r="S152" s="1585"/>
      <c r="T152" s="1585"/>
      <c r="U152" s="226"/>
      <c r="V152" s="1586"/>
      <c r="W152" s="317"/>
      <c r="X152" s="317"/>
      <c r="Y152" s="317"/>
      <c r="Z152" s="317"/>
      <c r="AA152" s="317"/>
      <c r="AB152" s="1594"/>
      <c r="AC152" s="317"/>
      <c r="AD152" s="1594"/>
      <c r="AE152" s="1594"/>
      <c r="AF152" s="1594"/>
      <c r="AG152" s="1594"/>
      <c r="AH152" s="1594"/>
      <c r="AI152" s="1594"/>
      <c r="AJ152" s="1594"/>
      <c r="AK152" s="1594"/>
      <c r="AL152" s="1594"/>
      <c r="AM152" s="1594"/>
      <c r="AN152" s="1594"/>
      <c r="AO152" s="1594"/>
      <c r="AP152" s="1594"/>
      <c r="AQ152" s="1594"/>
      <c r="AR152" s="1594"/>
      <c r="AS152" s="1594"/>
      <c r="AT152" s="1594"/>
      <c r="AU152" s="1594"/>
      <c r="AV152" s="1594"/>
      <c r="AW152" s="1594"/>
      <c r="AX152" s="1594"/>
      <c r="AY152" s="1594"/>
      <c r="AZ152" s="1594"/>
      <c r="BA152" s="1594"/>
      <c r="BB152" s="1594"/>
      <c r="BC152" s="1594"/>
      <c r="BD152" s="1594"/>
      <c r="BE152" s="1594"/>
      <c r="BF152" s="1594"/>
      <c r="BG152" s="1594"/>
      <c r="BH152" s="1594"/>
      <c r="BI152" s="1594"/>
      <c r="BJ152" s="1594"/>
      <c r="BK152" s="1594"/>
      <c r="BL152" s="1594"/>
      <c r="BM152" s="1594"/>
      <c r="BN152" s="1594"/>
      <c r="BO152" s="1594"/>
      <c r="BP152" s="1594"/>
      <c r="BQ152" s="1594"/>
      <c r="BR152" s="1594"/>
      <c r="BS152" s="1594"/>
      <c r="BT152" s="1594"/>
      <c r="BU152" s="1594"/>
      <c r="BV152" s="1594"/>
      <c r="BW152" s="1594"/>
      <c r="BX152" s="1594"/>
      <c r="BY152" s="1594"/>
      <c r="BZ152" s="1594"/>
      <c r="CA152" s="1594"/>
      <c r="CB152" s="1594"/>
      <c r="CC152" s="1594"/>
      <c r="CD152" s="1594"/>
      <c r="CE152" s="1594"/>
      <c r="CF152" s="1594"/>
      <c r="CG152" s="1594"/>
      <c r="CH152" s="1594"/>
      <c r="CI152" s="1594"/>
      <c r="CJ152" s="1594"/>
      <c r="CK152" s="1594"/>
      <c r="CL152" s="1594"/>
      <c r="CM152" s="1594"/>
      <c r="CN152" s="1594"/>
      <c r="CO152" s="1594"/>
      <c r="CP152" s="1594"/>
      <c r="CQ152" s="1594"/>
      <c r="CR152" s="1594"/>
      <c r="CS152" s="1594"/>
      <c r="CT152" s="1594"/>
      <c r="CU152" s="1594"/>
      <c r="CV152" s="1594"/>
      <c r="CW152" s="1594"/>
      <c r="CX152" s="1594"/>
      <c r="CY152" s="1594"/>
      <c r="CZ152" s="1594"/>
    </row>
    <row r="153" spans="1:104">
      <c r="A153" s="1584"/>
      <c r="B153" s="1595" t="s">
        <v>1768</v>
      </c>
      <c r="C153" s="1595"/>
      <c r="D153" s="213">
        <f>-'TRAIL BALANCE'!F10</f>
        <v>22771.759999999998</v>
      </c>
      <c r="E153" s="1595"/>
      <c r="F153" s="213">
        <f>-SUM('TRAIL BALANCE'!E7)</f>
        <v>18127.2</v>
      </c>
      <c r="G153" s="1585"/>
      <c r="H153" s="184"/>
      <c r="I153" s="1585"/>
      <c r="J153" s="1585"/>
      <c r="K153" s="1585"/>
      <c r="L153" s="1585"/>
      <c r="M153" s="1585"/>
      <c r="N153" s="1585"/>
      <c r="O153" s="1585"/>
      <c r="P153" s="1585"/>
      <c r="Q153" s="1191"/>
      <c r="R153" s="1585"/>
      <c r="S153" s="1585"/>
      <c r="T153" s="1585"/>
      <c r="U153" s="226"/>
      <c r="V153" s="1586"/>
      <c r="W153" s="317"/>
      <c r="X153" s="317"/>
      <c r="Y153" s="317"/>
      <c r="Z153" s="317"/>
      <c r="AA153" s="317"/>
      <c r="AB153" s="1594"/>
      <c r="AC153" s="317"/>
      <c r="AD153" s="1594"/>
      <c r="AE153" s="1594"/>
      <c r="AF153" s="1594"/>
      <c r="AG153" s="1594"/>
      <c r="AH153" s="1594"/>
      <c r="AI153" s="1594"/>
      <c r="AJ153" s="1594"/>
      <c r="AK153" s="1594"/>
      <c r="AL153" s="1594"/>
      <c r="AM153" s="1594"/>
      <c r="AN153" s="1594"/>
      <c r="AO153" s="1594"/>
      <c r="AP153" s="1594"/>
      <c r="AQ153" s="1594"/>
      <c r="AR153" s="1594"/>
      <c r="AS153" s="1594"/>
      <c r="AT153" s="1594"/>
      <c r="AU153" s="1594"/>
      <c r="AV153" s="1594"/>
      <c r="AW153" s="1594"/>
      <c r="AX153" s="1594"/>
      <c r="AY153" s="1594"/>
      <c r="AZ153" s="1594"/>
      <c r="BA153" s="1594"/>
      <c r="BB153" s="1594"/>
      <c r="BC153" s="1594"/>
      <c r="BD153" s="1594"/>
      <c r="BE153" s="1594"/>
      <c r="BF153" s="1594"/>
      <c r="BG153" s="1594"/>
      <c r="BH153" s="1594"/>
      <c r="BI153" s="1594"/>
      <c r="BJ153" s="1594"/>
      <c r="BK153" s="1594"/>
      <c r="BL153" s="1594"/>
      <c r="BM153" s="1594"/>
      <c r="BN153" s="1594"/>
      <c r="BO153" s="1594"/>
      <c r="BP153" s="1594"/>
      <c r="BQ153" s="1594"/>
      <c r="BR153" s="1594"/>
      <c r="BS153" s="1594"/>
      <c r="BT153" s="1594"/>
      <c r="BU153" s="1594"/>
      <c r="BV153" s="1594"/>
      <c r="BW153" s="1594"/>
      <c r="BX153" s="1594"/>
      <c r="BY153" s="1594"/>
      <c r="BZ153" s="1594"/>
      <c r="CA153" s="1594"/>
      <c r="CB153" s="1594"/>
      <c r="CC153" s="1594"/>
      <c r="CD153" s="1594"/>
      <c r="CE153" s="1594"/>
      <c r="CF153" s="1594"/>
      <c r="CG153" s="1594"/>
      <c r="CH153" s="1594"/>
      <c r="CI153" s="1594"/>
      <c r="CJ153" s="1594"/>
      <c r="CK153" s="1594"/>
      <c r="CL153" s="1594"/>
      <c r="CM153" s="1594"/>
      <c r="CN153" s="1594"/>
      <c r="CO153" s="1594"/>
      <c r="CP153" s="1594"/>
      <c r="CQ153" s="1594"/>
      <c r="CR153" s="1594"/>
      <c r="CS153" s="1594"/>
      <c r="CT153" s="1594"/>
      <c r="CU153" s="1594"/>
      <c r="CV153" s="1594"/>
      <c r="CW153" s="1594"/>
      <c r="CX153" s="1594"/>
      <c r="CY153" s="1594"/>
      <c r="CZ153" s="1594"/>
    </row>
    <row r="154" spans="1:104">
      <c r="A154" s="1584"/>
      <c r="B154" s="1595" t="s">
        <v>1811</v>
      </c>
      <c r="C154" s="1595"/>
      <c r="D154" s="213">
        <f>-'TRAIL BALANCE'!F11</f>
        <v>3504.76</v>
      </c>
      <c r="E154" s="1595"/>
      <c r="F154" s="213">
        <f>-SUM('TRAIL BALANCE'!E8)</f>
        <v>2399.2199999999998</v>
      </c>
      <c r="G154" s="1585"/>
      <c r="H154" s="184"/>
      <c r="I154" s="1585"/>
      <c r="J154" s="1585"/>
      <c r="K154" s="1585"/>
      <c r="L154" s="1585"/>
      <c r="M154" s="1585"/>
      <c r="N154" s="1585"/>
      <c r="O154" s="1585"/>
      <c r="P154" s="1585"/>
      <c r="Q154" s="1191"/>
      <c r="R154" s="1585"/>
      <c r="S154" s="1585"/>
      <c r="T154" s="1585"/>
      <c r="U154" s="226"/>
      <c r="V154" s="1586"/>
      <c r="W154" s="317"/>
      <c r="X154" s="317"/>
      <c r="Y154" s="317"/>
      <c r="Z154" s="317"/>
      <c r="AA154" s="317"/>
      <c r="AB154" s="1594"/>
      <c r="AC154" s="317"/>
      <c r="AD154" s="1594"/>
      <c r="AE154" s="1594"/>
      <c r="AF154" s="1594"/>
      <c r="AG154" s="1594"/>
      <c r="AH154" s="1594"/>
      <c r="AI154" s="1594"/>
      <c r="AJ154" s="1594"/>
      <c r="AK154" s="1594"/>
      <c r="AL154" s="1594"/>
      <c r="AM154" s="1594"/>
      <c r="AN154" s="1594"/>
      <c r="AO154" s="1594"/>
      <c r="AP154" s="1594"/>
      <c r="AQ154" s="1594"/>
      <c r="AR154" s="1594"/>
      <c r="AS154" s="1594"/>
      <c r="AT154" s="1594"/>
      <c r="AU154" s="1594"/>
      <c r="AV154" s="1594"/>
      <c r="AW154" s="1594"/>
      <c r="AX154" s="1594"/>
      <c r="AY154" s="1594"/>
      <c r="AZ154" s="1594"/>
      <c r="BA154" s="1594"/>
      <c r="BB154" s="1594"/>
      <c r="BC154" s="1594"/>
      <c r="BD154" s="1594"/>
      <c r="BE154" s="1594"/>
      <c r="BF154" s="1594"/>
      <c r="BG154" s="1594"/>
      <c r="BH154" s="1594"/>
      <c r="BI154" s="1594"/>
      <c r="BJ154" s="1594"/>
      <c r="BK154" s="1594"/>
      <c r="BL154" s="1594"/>
      <c r="BM154" s="1594"/>
      <c r="BN154" s="1594"/>
      <c r="BO154" s="1594"/>
      <c r="BP154" s="1594"/>
      <c r="BQ154" s="1594"/>
      <c r="BR154" s="1594"/>
      <c r="BS154" s="1594"/>
      <c r="BT154" s="1594"/>
      <c r="BU154" s="1594"/>
      <c r="BV154" s="1594"/>
      <c r="BW154" s="1594"/>
      <c r="BX154" s="1594"/>
      <c r="BY154" s="1594"/>
      <c r="BZ154" s="1594"/>
      <c r="CA154" s="1594"/>
      <c r="CB154" s="1594"/>
      <c r="CC154" s="1594"/>
      <c r="CD154" s="1594"/>
      <c r="CE154" s="1594"/>
      <c r="CF154" s="1594"/>
      <c r="CG154" s="1594"/>
      <c r="CH154" s="1594"/>
      <c r="CI154" s="1594"/>
      <c r="CJ154" s="1594"/>
      <c r="CK154" s="1594"/>
      <c r="CL154" s="1594"/>
      <c r="CM154" s="1594"/>
      <c r="CN154" s="1594"/>
      <c r="CO154" s="1594"/>
      <c r="CP154" s="1594"/>
      <c r="CQ154" s="1594"/>
      <c r="CR154" s="1594"/>
      <c r="CS154" s="1594"/>
      <c r="CT154" s="1594"/>
      <c r="CU154" s="1594"/>
      <c r="CV154" s="1594"/>
      <c r="CW154" s="1594"/>
      <c r="CX154" s="1594"/>
      <c r="CY154" s="1594"/>
      <c r="CZ154" s="1594"/>
    </row>
    <row r="155" spans="1:104">
      <c r="A155" s="1584"/>
      <c r="B155" s="1595" t="s">
        <v>1812</v>
      </c>
      <c r="C155" s="1595"/>
      <c r="D155" s="213">
        <f>-'TRAIL BALANCE'!F519</f>
        <v>0</v>
      </c>
      <c r="E155" s="1595"/>
      <c r="F155" s="213">
        <f>-'TRAIL BALANCE'!E519</f>
        <v>14819.44</v>
      </c>
      <c r="G155" s="1585"/>
      <c r="H155" s="184"/>
      <c r="I155" s="1585"/>
      <c r="J155" s="1585"/>
      <c r="K155" s="1585"/>
      <c r="L155" s="1585"/>
      <c r="M155" s="1585"/>
      <c r="N155" s="1585"/>
      <c r="O155" s="1585"/>
      <c r="P155" s="1585"/>
      <c r="Q155" s="1191"/>
      <c r="R155" s="1585"/>
      <c r="S155" s="1585"/>
      <c r="T155" s="1585"/>
      <c r="U155" s="226"/>
      <c r="V155" s="1586"/>
      <c r="W155" s="317"/>
      <c r="X155" s="317"/>
      <c r="Y155" s="317"/>
      <c r="Z155" s="317"/>
      <c r="AA155" s="317"/>
      <c r="AB155" s="1594"/>
      <c r="AC155" s="317"/>
      <c r="AD155" s="1594"/>
      <c r="AE155" s="1594"/>
      <c r="AF155" s="1594"/>
      <c r="AG155" s="1594"/>
      <c r="AH155" s="1594"/>
      <c r="AI155" s="1594"/>
      <c r="AJ155" s="1594"/>
      <c r="AK155" s="1594"/>
      <c r="AL155" s="1594"/>
      <c r="AM155" s="1594"/>
      <c r="AN155" s="1594"/>
      <c r="AO155" s="1594"/>
      <c r="AP155" s="1594"/>
      <c r="AQ155" s="1594"/>
      <c r="AR155" s="1594"/>
      <c r="AS155" s="1594"/>
      <c r="AT155" s="1594"/>
      <c r="AU155" s="1594"/>
      <c r="AV155" s="1594"/>
      <c r="AW155" s="1594"/>
      <c r="AX155" s="1594"/>
      <c r="AY155" s="1594"/>
      <c r="AZ155" s="1594"/>
      <c r="BA155" s="1594"/>
      <c r="BB155" s="1594"/>
      <c r="BC155" s="1594"/>
      <c r="BD155" s="1594"/>
      <c r="BE155" s="1594"/>
      <c r="BF155" s="1594"/>
      <c r="BG155" s="1594"/>
      <c r="BH155" s="1594"/>
      <c r="BI155" s="1594"/>
      <c r="BJ155" s="1594"/>
      <c r="BK155" s="1594"/>
      <c r="BL155" s="1594"/>
      <c r="BM155" s="1594"/>
      <c r="BN155" s="1594"/>
      <c r="BO155" s="1594"/>
      <c r="BP155" s="1594"/>
      <c r="BQ155" s="1594"/>
      <c r="BR155" s="1594"/>
      <c r="BS155" s="1594"/>
      <c r="BT155" s="1594"/>
      <c r="BU155" s="1594"/>
      <c r="BV155" s="1594"/>
      <c r="BW155" s="1594"/>
      <c r="BX155" s="1594"/>
      <c r="BY155" s="1594"/>
      <c r="BZ155" s="1594"/>
      <c r="CA155" s="1594"/>
      <c r="CB155" s="1594"/>
      <c r="CC155" s="1594"/>
      <c r="CD155" s="1594"/>
      <c r="CE155" s="1594"/>
      <c r="CF155" s="1594"/>
      <c r="CG155" s="1594"/>
      <c r="CH155" s="1594"/>
      <c r="CI155" s="1594"/>
      <c r="CJ155" s="1594"/>
      <c r="CK155" s="1594"/>
      <c r="CL155" s="1594"/>
      <c r="CM155" s="1594"/>
      <c r="CN155" s="1594"/>
      <c r="CO155" s="1594"/>
      <c r="CP155" s="1594"/>
      <c r="CQ155" s="1594"/>
      <c r="CR155" s="1594"/>
      <c r="CS155" s="1594"/>
      <c r="CT155" s="1594"/>
      <c r="CU155" s="1594"/>
      <c r="CV155" s="1594"/>
      <c r="CW155" s="1594"/>
      <c r="CX155" s="1594"/>
      <c r="CY155" s="1594"/>
      <c r="CZ155" s="1594"/>
    </row>
    <row r="156" spans="1:104">
      <c r="A156" s="1584"/>
      <c r="B156" s="1595" t="s">
        <v>2442</v>
      </c>
      <c r="C156" s="1595"/>
      <c r="D156" s="213">
        <f>-'TRAIL BALANCE'!F9</f>
        <v>295064.28000000003</v>
      </c>
      <c r="E156" s="1595"/>
      <c r="F156" s="213">
        <v>0</v>
      </c>
      <c r="G156" s="1585"/>
      <c r="H156" s="184"/>
      <c r="I156" s="1585"/>
      <c r="J156" s="1585"/>
      <c r="K156" s="1585"/>
      <c r="L156" s="1585"/>
      <c r="M156" s="1585"/>
      <c r="N156" s="1585"/>
      <c r="O156" s="1585"/>
      <c r="P156" s="1585"/>
      <c r="Q156" s="1191"/>
      <c r="R156" s="1585"/>
      <c r="S156" s="1585"/>
      <c r="T156" s="1585"/>
      <c r="U156" s="226"/>
      <c r="V156" s="1586"/>
      <c r="W156" s="317"/>
      <c r="X156" s="317"/>
      <c r="Y156" s="317"/>
      <c r="Z156" s="317"/>
      <c r="AA156" s="317"/>
      <c r="AB156" s="1594"/>
      <c r="AC156" s="317"/>
      <c r="AD156" s="1594"/>
      <c r="AE156" s="1594"/>
      <c r="AF156" s="1594"/>
      <c r="AG156" s="1594"/>
      <c r="AH156" s="1594"/>
      <c r="AI156" s="1594"/>
      <c r="AJ156" s="1594"/>
      <c r="AK156" s="1594"/>
      <c r="AL156" s="1594"/>
      <c r="AM156" s="1594"/>
      <c r="AN156" s="1594"/>
      <c r="AO156" s="1594"/>
      <c r="AP156" s="1594"/>
      <c r="AQ156" s="1594"/>
      <c r="AR156" s="1594"/>
      <c r="AS156" s="1594"/>
      <c r="AT156" s="1594"/>
      <c r="AU156" s="1594"/>
      <c r="AV156" s="1594"/>
      <c r="AW156" s="1594"/>
      <c r="AX156" s="1594"/>
      <c r="AY156" s="1594"/>
      <c r="AZ156" s="1594"/>
      <c r="BA156" s="1594"/>
      <c r="BB156" s="1594"/>
      <c r="BC156" s="1594"/>
      <c r="BD156" s="1594"/>
      <c r="BE156" s="1594"/>
      <c r="BF156" s="1594"/>
      <c r="BG156" s="1594"/>
      <c r="BH156" s="1594"/>
      <c r="BI156" s="1594"/>
      <c r="BJ156" s="1594"/>
      <c r="BK156" s="1594"/>
      <c r="BL156" s="1594"/>
      <c r="BM156" s="1594"/>
      <c r="BN156" s="1594"/>
      <c r="BO156" s="1594"/>
      <c r="BP156" s="1594"/>
      <c r="BQ156" s="1594"/>
      <c r="BR156" s="1594"/>
      <c r="BS156" s="1594"/>
      <c r="BT156" s="1594"/>
      <c r="BU156" s="1594"/>
      <c r="BV156" s="1594"/>
      <c r="BW156" s="1594"/>
      <c r="BX156" s="1594"/>
      <c r="BY156" s="1594"/>
      <c r="BZ156" s="1594"/>
      <c r="CA156" s="1594"/>
      <c r="CB156" s="1594"/>
      <c r="CC156" s="1594"/>
      <c r="CD156" s="1594"/>
      <c r="CE156" s="1594"/>
      <c r="CF156" s="1594"/>
      <c r="CG156" s="1594"/>
      <c r="CH156" s="1594"/>
      <c r="CI156" s="1594"/>
      <c r="CJ156" s="1594"/>
      <c r="CK156" s="1594"/>
      <c r="CL156" s="1594"/>
      <c r="CM156" s="1594"/>
      <c r="CN156" s="1594"/>
      <c r="CO156" s="1594"/>
      <c r="CP156" s="1594"/>
      <c r="CQ156" s="1594"/>
      <c r="CR156" s="1594"/>
      <c r="CS156" s="1594"/>
      <c r="CT156" s="1594"/>
      <c r="CU156" s="1594"/>
      <c r="CV156" s="1594"/>
      <c r="CW156" s="1594"/>
      <c r="CX156" s="1594"/>
      <c r="CY156" s="1594"/>
      <c r="CZ156" s="1594"/>
    </row>
    <row r="157" spans="1:104">
      <c r="A157" s="1584"/>
      <c r="B157" s="1595" t="s">
        <v>650</v>
      </c>
      <c r="C157" s="1595"/>
      <c r="D157" s="213">
        <f>-'TRAIL BALANCE'!F186</f>
        <v>33795.480000000003</v>
      </c>
      <c r="E157" s="1595"/>
      <c r="F157" s="213">
        <f>-'TRAIL BALANCE'!E186</f>
        <v>21038.45</v>
      </c>
      <c r="G157" s="1585"/>
      <c r="H157" s="184"/>
      <c r="I157" s="1585"/>
      <c r="J157" s="1585"/>
      <c r="K157" s="1585"/>
      <c r="L157" s="1585"/>
      <c r="M157" s="1585"/>
      <c r="N157" s="1585"/>
      <c r="O157" s="1585"/>
      <c r="P157" s="1585"/>
      <c r="Q157" s="1191"/>
      <c r="R157" s="1585"/>
      <c r="S157" s="1585"/>
      <c r="T157" s="1585"/>
      <c r="U157" s="226"/>
      <c r="V157" s="1586"/>
      <c r="W157" s="317"/>
      <c r="X157" s="317"/>
      <c r="Y157" s="317"/>
      <c r="Z157" s="317"/>
      <c r="AA157" s="317"/>
      <c r="AB157" s="1594"/>
      <c r="AC157" s="317"/>
      <c r="AD157" s="1594"/>
      <c r="AE157" s="1594"/>
      <c r="AF157" s="1594"/>
      <c r="AG157" s="1594"/>
      <c r="AH157" s="1594"/>
      <c r="AI157" s="1594"/>
      <c r="AJ157" s="1594"/>
      <c r="AK157" s="1594"/>
      <c r="AL157" s="1594"/>
      <c r="AM157" s="1594"/>
      <c r="AN157" s="1594"/>
      <c r="AO157" s="1594"/>
      <c r="AP157" s="1594"/>
      <c r="AQ157" s="1594"/>
      <c r="AR157" s="1594"/>
      <c r="AS157" s="1594"/>
      <c r="AT157" s="1594"/>
      <c r="AU157" s="1594"/>
      <c r="AV157" s="1594"/>
      <c r="AW157" s="1594"/>
      <c r="AX157" s="1594"/>
      <c r="AY157" s="1594"/>
      <c r="AZ157" s="1594"/>
      <c r="BA157" s="1594"/>
      <c r="BB157" s="1594"/>
      <c r="BC157" s="1594"/>
      <c r="BD157" s="1594"/>
      <c r="BE157" s="1594"/>
      <c r="BF157" s="1594"/>
      <c r="BG157" s="1594"/>
      <c r="BH157" s="1594"/>
      <c r="BI157" s="1594"/>
      <c r="BJ157" s="1594"/>
      <c r="BK157" s="1594"/>
      <c r="BL157" s="1594"/>
      <c r="BM157" s="1594"/>
      <c r="BN157" s="1594"/>
      <c r="BO157" s="1594"/>
      <c r="BP157" s="1594"/>
      <c r="BQ157" s="1594"/>
      <c r="BR157" s="1594"/>
      <c r="BS157" s="1594"/>
      <c r="BT157" s="1594"/>
      <c r="BU157" s="1594"/>
      <c r="BV157" s="1594"/>
      <c r="BW157" s="1594"/>
      <c r="BX157" s="1594"/>
      <c r="BY157" s="1594"/>
      <c r="BZ157" s="1594"/>
      <c r="CA157" s="1594"/>
      <c r="CB157" s="1594"/>
      <c r="CC157" s="1594"/>
      <c r="CD157" s="1594"/>
      <c r="CE157" s="1594"/>
      <c r="CF157" s="1594"/>
      <c r="CG157" s="1594"/>
      <c r="CH157" s="1594"/>
      <c r="CI157" s="1594"/>
      <c r="CJ157" s="1594"/>
      <c r="CK157" s="1594"/>
      <c r="CL157" s="1594"/>
      <c r="CM157" s="1594"/>
      <c r="CN157" s="1594"/>
      <c r="CO157" s="1594"/>
      <c r="CP157" s="1594"/>
      <c r="CQ157" s="1594"/>
      <c r="CR157" s="1594"/>
      <c r="CS157" s="1594"/>
      <c r="CT157" s="1594"/>
      <c r="CU157" s="1594"/>
      <c r="CV157" s="1594"/>
      <c r="CW157" s="1594"/>
      <c r="CX157" s="1594"/>
      <c r="CY157" s="1594"/>
      <c r="CZ157" s="1594"/>
    </row>
    <row r="158" spans="1:104">
      <c r="A158" s="1584"/>
      <c r="B158" s="1595" t="s">
        <v>651</v>
      </c>
      <c r="C158" s="1595"/>
      <c r="D158" s="338">
        <f>-'TRAIL BALANCE'!F375</f>
        <v>178836.4</v>
      </c>
      <c r="E158" s="1595"/>
      <c r="F158" s="338">
        <f>-'TRAIL BALANCE'!E375</f>
        <v>71070.2</v>
      </c>
      <c r="G158" s="1585"/>
      <c r="H158" s="184"/>
      <c r="I158" s="1585"/>
      <c r="J158" s="1585"/>
      <c r="K158" s="1585"/>
      <c r="L158" s="1585"/>
      <c r="M158" s="1585"/>
      <c r="N158" s="1585"/>
      <c r="O158" s="1585"/>
      <c r="P158" s="1585"/>
      <c r="Q158" s="1191"/>
      <c r="R158" s="1585"/>
      <c r="S158" s="1585"/>
      <c r="T158" s="1585"/>
      <c r="U158" s="226"/>
      <c r="V158" s="1586"/>
      <c r="W158" s="317"/>
      <c r="X158" s="317"/>
      <c r="Y158" s="317"/>
      <c r="Z158" s="317"/>
      <c r="AA158" s="317"/>
      <c r="AB158" s="1594"/>
      <c r="AC158" s="317"/>
      <c r="AD158" s="1594"/>
      <c r="AE158" s="1594"/>
      <c r="AF158" s="1594"/>
      <c r="AG158" s="1594"/>
      <c r="AH158" s="1594"/>
      <c r="AI158" s="1594"/>
      <c r="AJ158" s="1594"/>
      <c r="AK158" s="1594"/>
      <c r="AL158" s="1594"/>
      <c r="AM158" s="1594"/>
      <c r="AN158" s="1594"/>
      <c r="AO158" s="1594"/>
      <c r="AP158" s="1594"/>
      <c r="AQ158" s="1594"/>
      <c r="AR158" s="1594"/>
      <c r="AS158" s="1594"/>
      <c r="AT158" s="1594"/>
      <c r="AU158" s="1594"/>
      <c r="AV158" s="1594"/>
      <c r="AW158" s="1594"/>
      <c r="AX158" s="1594"/>
      <c r="AY158" s="1594"/>
      <c r="AZ158" s="1594"/>
      <c r="BA158" s="1594"/>
      <c r="BB158" s="1594"/>
      <c r="BC158" s="1594"/>
      <c r="BD158" s="1594"/>
      <c r="BE158" s="1594"/>
      <c r="BF158" s="1594"/>
      <c r="BG158" s="1594"/>
      <c r="BH158" s="1594"/>
      <c r="BI158" s="1594"/>
      <c r="BJ158" s="1594"/>
      <c r="BK158" s="1594"/>
      <c r="BL158" s="1594"/>
      <c r="BM158" s="1594"/>
      <c r="BN158" s="1594"/>
      <c r="BO158" s="1594"/>
      <c r="BP158" s="1594"/>
      <c r="BQ158" s="1594"/>
      <c r="BR158" s="1594"/>
      <c r="BS158" s="1594"/>
      <c r="BT158" s="1594"/>
      <c r="BU158" s="1594"/>
      <c r="BV158" s="1594"/>
      <c r="BW158" s="1594"/>
      <c r="BX158" s="1594"/>
      <c r="BY158" s="1594"/>
      <c r="BZ158" s="1594"/>
      <c r="CA158" s="1594"/>
      <c r="CB158" s="1594"/>
      <c r="CC158" s="1594"/>
      <c r="CD158" s="1594"/>
      <c r="CE158" s="1594"/>
      <c r="CF158" s="1594"/>
      <c r="CG158" s="1594"/>
      <c r="CH158" s="1594"/>
      <c r="CI158" s="1594"/>
      <c r="CJ158" s="1594"/>
      <c r="CK158" s="1594"/>
      <c r="CL158" s="1594"/>
      <c r="CM158" s="1594"/>
      <c r="CN158" s="1594"/>
      <c r="CO158" s="1594"/>
      <c r="CP158" s="1594"/>
      <c r="CQ158" s="1594"/>
      <c r="CR158" s="1594"/>
      <c r="CS158" s="1594"/>
      <c r="CT158" s="1594"/>
      <c r="CU158" s="1594"/>
      <c r="CV158" s="1594"/>
      <c r="CW158" s="1594"/>
      <c r="CX158" s="1594"/>
      <c r="CY158" s="1594"/>
      <c r="CZ158" s="1594"/>
    </row>
    <row r="159" spans="1:104">
      <c r="A159" s="1584"/>
      <c r="B159" s="1595"/>
      <c r="C159" s="1595"/>
      <c r="D159" s="325"/>
      <c r="E159" s="1595"/>
      <c r="F159" s="317"/>
      <c r="G159" s="1585"/>
      <c r="H159" s="184"/>
      <c r="I159" s="1585"/>
      <c r="J159" s="1585"/>
      <c r="K159" s="1585"/>
      <c r="L159" s="1585"/>
      <c r="M159" s="1585"/>
      <c r="N159" s="1585"/>
      <c r="O159" s="1585"/>
      <c r="P159" s="1585"/>
      <c r="Q159" s="1191"/>
      <c r="R159" s="1585"/>
      <c r="S159" s="1585"/>
      <c r="T159" s="1585"/>
      <c r="U159" s="226"/>
      <c r="V159" s="1586"/>
      <c r="W159" s="317"/>
      <c r="X159" s="317"/>
      <c r="Y159" s="317"/>
      <c r="Z159" s="317"/>
      <c r="AA159" s="317"/>
      <c r="AB159" s="1594"/>
      <c r="AC159" s="317"/>
      <c r="AD159" s="1594"/>
      <c r="AE159" s="1594"/>
      <c r="AF159" s="1594"/>
      <c r="AG159" s="1594"/>
      <c r="AH159" s="1594"/>
      <c r="AI159" s="1594"/>
      <c r="AJ159" s="1594"/>
      <c r="AK159" s="1594"/>
      <c r="AL159" s="1594"/>
      <c r="AM159" s="1594"/>
      <c r="AN159" s="1594"/>
      <c r="AO159" s="1594"/>
      <c r="AP159" s="1594"/>
      <c r="AQ159" s="1594"/>
      <c r="AR159" s="1594"/>
      <c r="AS159" s="1594"/>
      <c r="AT159" s="1594"/>
      <c r="AU159" s="1594"/>
      <c r="AV159" s="1594"/>
      <c r="AW159" s="1594"/>
      <c r="AX159" s="1594"/>
      <c r="AY159" s="1594"/>
      <c r="AZ159" s="1594"/>
      <c r="BA159" s="1594"/>
      <c r="BB159" s="1594"/>
      <c r="BC159" s="1594"/>
      <c r="BD159" s="1594"/>
      <c r="BE159" s="1594"/>
      <c r="BF159" s="1594"/>
      <c r="BG159" s="1594"/>
      <c r="BH159" s="1594"/>
      <c r="BI159" s="1594"/>
      <c r="BJ159" s="1594"/>
      <c r="BK159" s="1594"/>
      <c r="BL159" s="1594"/>
      <c r="BM159" s="1594"/>
      <c r="BN159" s="1594"/>
      <c r="BO159" s="1594"/>
      <c r="BP159" s="1594"/>
      <c r="BQ159" s="1594"/>
      <c r="BR159" s="1594"/>
      <c r="BS159" s="1594"/>
      <c r="BT159" s="1594"/>
      <c r="BU159" s="1594"/>
      <c r="BV159" s="1594"/>
      <c r="BW159" s="1594"/>
      <c r="BX159" s="1594"/>
      <c r="BY159" s="1594"/>
      <c r="BZ159" s="1594"/>
      <c r="CA159" s="1594"/>
      <c r="CB159" s="1594"/>
      <c r="CC159" s="1594"/>
      <c r="CD159" s="1594"/>
      <c r="CE159" s="1594"/>
      <c r="CF159" s="1594"/>
      <c r="CG159" s="1594"/>
      <c r="CH159" s="1594"/>
      <c r="CI159" s="1594"/>
      <c r="CJ159" s="1594"/>
      <c r="CK159" s="1594"/>
      <c r="CL159" s="1594"/>
      <c r="CM159" s="1594"/>
      <c r="CN159" s="1594"/>
      <c r="CO159" s="1594"/>
      <c r="CP159" s="1594"/>
      <c r="CQ159" s="1594"/>
      <c r="CR159" s="1594"/>
      <c r="CS159" s="1594"/>
      <c r="CT159" s="1594"/>
      <c r="CU159" s="1594"/>
      <c r="CV159" s="1594"/>
      <c r="CW159" s="1594"/>
      <c r="CX159" s="1594"/>
      <c r="CY159" s="1594"/>
      <c r="CZ159" s="1594"/>
    </row>
    <row r="160" spans="1:104" ht="13.5" thickBot="1">
      <c r="A160" s="1584"/>
      <c r="B160" s="142" t="s">
        <v>1108</v>
      </c>
      <c r="C160" s="142"/>
      <c r="D160" s="143">
        <f>SUM(D149:D158)</f>
        <v>14208326.18</v>
      </c>
      <c r="E160" s="142"/>
      <c r="F160" s="143">
        <f>SUM(F149:F158)</f>
        <v>1044952.6799999998</v>
      </c>
      <c r="G160" s="1585"/>
      <c r="H160" s="184"/>
      <c r="I160" s="1585"/>
      <c r="J160" s="1585"/>
      <c r="K160" s="1585"/>
      <c r="L160" s="1585"/>
      <c r="M160" s="1585"/>
      <c r="N160" s="1585"/>
      <c r="O160" s="1585"/>
      <c r="P160" s="1585"/>
      <c r="Q160" s="1191"/>
      <c r="R160" s="1585"/>
      <c r="S160" s="1585"/>
      <c r="T160" s="1585"/>
      <c r="U160" s="226"/>
      <c r="V160" s="1586"/>
      <c r="W160" s="317"/>
      <c r="X160" s="317"/>
      <c r="Y160" s="317"/>
      <c r="Z160" s="317"/>
      <c r="AA160" s="317"/>
      <c r="AB160" s="1594"/>
      <c r="AC160" s="317"/>
      <c r="AD160" s="1594"/>
      <c r="AE160" s="1594"/>
      <c r="AF160" s="1594"/>
      <c r="AG160" s="1594"/>
      <c r="AH160" s="1594"/>
      <c r="AI160" s="1594"/>
      <c r="AJ160" s="1594"/>
      <c r="AK160" s="1594"/>
      <c r="AL160" s="1594"/>
      <c r="AM160" s="1594"/>
      <c r="AN160" s="1594"/>
      <c r="AO160" s="1594"/>
      <c r="AP160" s="1594"/>
      <c r="AQ160" s="1594"/>
      <c r="AR160" s="1594"/>
      <c r="AS160" s="1594"/>
      <c r="AT160" s="1594"/>
      <c r="AU160" s="1594"/>
      <c r="AV160" s="1594"/>
      <c r="AW160" s="1594"/>
      <c r="AX160" s="1594"/>
      <c r="AY160" s="1594"/>
      <c r="AZ160" s="1594"/>
      <c r="BA160" s="1594"/>
      <c r="BB160" s="1594"/>
      <c r="BC160" s="1594"/>
      <c r="BD160" s="1594"/>
      <c r="BE160" s="1594"/>
      <c r="BF160" s="1594"/>
      <c r="BG160" s="1594"/>
      <c r="BH160" s="1594"/>
      <c r="BI160" s="1594"/>
      <c r="BJ160" s="1594"/>
      <c r="BK160" s="1594"/>
      <c r="BL160" s="1594"/>
      <c r="BM160" s="1594"/>
      <c r="BN160" s="1594"/>
      <c r="BO160" s="1594"/>
      <c r="BP160" s="1594"/>
      <c r="BQ160" s="1594"/>
      <c r="BR160" s="1594"/>
      <c r="BS160" s="1594"/>
      <c r="BT160" s="1594"/>
      <c r="BU160" s="1594"/>
      <c r="BV160" s="1594"/>
      <c r="BW160" s="1594"/>
      <c r="BX160" s="1594"/>
      <c r="BY160" s="1594"/>
      <c r="BZ160" s="1594"/>
      <c r="CA160" s="1594"/>
      <c r="CB160" s="1594"/>
      <c r="CC160" s="1594"/>
      <c r="CD160" s="1594"/>
      <c r="CE160" s="1594"/>
      <c r="CF160" s="1594"/>
      <c r="CG160" s="1594"/>
      <c r="CH160" s="1594"/>
      <c r="CI160" s="1594"/>
      <c r="CJ160" s="1594"/>
      <c r="CK160" s="1594"/>
      <c r="CL160" s="1594"/>
      <c r="CM160" s="1594"/>
      <c r="CN160" s="1594"/>
      <c r="CO160" s="1594"/>
      <c r="CP160" s="1594"/>
      <c r="CQ160" s="1594"/>
      <c r="CR160" s="1594"/>
      <c r="CS160" s="1594"/>
      <c r="CT160" s="1594"/>
      <c r="CU160" s="1594"/>
      <c r="CV160" s="1594"/>
      <c r="CW160" s="1594"/>
      <c r="CX160" s="1594"/>
      <c r="CY160" s="1594"/>
      <c r="CZ160" s="1594"/>
    </row>
    <row r="161" spans="1:104" ht="13.5" thickTop="1">
      <c r="A161" s="1584"/>
      <c r="B161" s="313" t="s">
        <v>2128</v>
      </c>
      <c r="C161" s="1585"/>
      <c r="D161" s="1180"/>
      <c r="E161" s="1585"/>
      <c r="F161" s="1180"/>
      <c r="G161" s="1585"/>
      <c r="H161" s="184"/>
      <c r="I161" s="1585"/>
      <c r="J161" s="1585"/>
      <c r="K161" s="1585"/>
      <c r="L161" s="1585"/>
      <c r="M161" s="1585"/>
      <c r="N161" s="1585"/>
      <c r="O161" s="1585"/>
      <c r="P161" s="1585"/>
      <c r="Q161" s="1191"/>
      <c r="R161" s="1585"/>
      <c r="S161" s="1585"/>
      <c r="T161" s="1585"/>
      <c r="U161" s="226"/>
      <c r="V161" s="1586"/>
      <c r="W161" s="317"/>
      <c r="X161" s="317"/>
      <c r="Y161" s="317"/>
      <c r="Z161" s="317"/>
      <c r="AA161" s="317"/>
      <c r="AB161" s="1594"/>
      <c r="AC161" s="317"/>
      <c r="AD161" s="1594"/>
      <c r="AE161" s="1594"/>
      <c r="AF161" s="1594"/>
      <c r="AG161" s="1594"/>
      <c r="AH161" s="1594"/>
      <c r="AI161" s="1594"/>
      <c r="AJ161" s="1594"/>
      <c r="AK161" s="1594"/>
      <c r="AL161" s="1594"/>
      <c r="AM161" s="1594"/>
      <c r="AN161" s="1594"/>
      <c r="AO161" s="1594"/>
      <c r="AP161" s="1594"/>
      <c r="AQ161" s="1594"/>
      <c r="AR161" s="1594"/>
      <c r="AS161" s="1594"/>
      <c r="AT161" s="1594"/>
      <c r="AU161" s="1594"/>
      <c r="AV161" s="1594"/>
      <c r="AW161" s="1594"/>
      <c r="AX161" s="1594"/>
      <c r="AY161" s="1594"/>
      <c r="AZ161" s="1594"/>
      <c r="BA161" s="1594"/>
      <c r="BB161" s="1594"/>
      <c r="BC161" s="1594"/>
      <c r="BD161" s="1594"/>
      <c r="BE161" s="1594"/>
      <c r="BF161" s="1594"/>
      <c r="BG161" s="1594"/>
      <c r="BH161" s="1594"/>
      <c r="BI161" s="1594"/>
      <c r="BJ161" s="1594"/>
      <c r="BK161" s="1594"/>
      <c r="BL161" s="1594"/>
      <c r="BM161" s="1594"/>
      <c r="BN161" s="1594"/>
      <c r="BO161" s="1594"/>
      <c r="BP161" s="1594"/>
      <c r="BQ161" s="1594"/>
      <c r="BR161" s="1594"/>
      <c r="BS161" s="1594"/>
      <c r="BT161" s="1594"/>
      <c r="BU161" s="1594"/>
      <c r="BV161" s="1594"/>
      <c r="BW161" s="1594"/>
      <c r="BX161" s="1594"/>
      <c r="BY161" s="1594"/>
      <c r="BZ161" s="1594"/>
      <c r="CA161" s="1594"/>
      <c r="CB161" s="1594"/>
      <c r="CC161" s="1594"/>
      <c r="CD161" s="1594"/>
      <c r="CE161" s="1594"/>
      <c r="CF161" s="1594"/>
      <c r="CG161" s="1594"/>
      <c r="CH161" s="1594"/>
      <c r="CI161" s="1594"/>
      <c r="CJ161" s="1594"/>
      <c r="CK161" s="1594"/>
      <c r="CL161" s="1594"/>
      <c r="CM161" s="1594"/>
      <c r="CN161" s="1594"/>
      <c r="CO161" s="1594"/>
      <c r="CP161" s="1594"/>
      <c r="CQ161" s="1594"/>
      <c r="CR161" s="1594"/>
      <c r="CS161" s="1594"/>
      <c r="CT161" s="1594"/>
      <c r="CU161" s="1594"/>
      <c r="CV161" s="1594"/>
      <c r="CW161" s="1594"/>
      <c r="CX161" s="1594"/>
      <c r="CY161" s="1594"/>
      <c r="CZ161" s="1594"/>
    </row>
    <row r="162" spans="1:104" ht="25.5">
      <c r="A162" s="1584"/>
      <c r="B162" s="639" t="s">
        <v>2459</v>
      </c>
      <c r="C162" s="1585"/>
      <c r="D162" s="1181">
        <v>0</v>
      </c>
      <c r="E162" s="1585"/>
      <c r="F162" s="1181"/>
      <c r="G162" s="1585"/>
      <c r="H162" s="184"/>
      <c r="I162" s="1585"/>
      <c r="J162" s="1585"/>
      <c r="K162" s="1585"/>
      <c r="L162" s="1585"/>
      <c r="M162" s="1585"/>
      <c r="N162" s="1585"/>
      <c r="O162" s="1585"/>
      <c r="P162" s="1585"/>
      <c r="Q162" s="1191"/>
      <c r="R162" s="1585"/>
      <c r="S162" s="1585"/>
      <c r="T162" s="1585"/>
      <c r="U162" s="226"/>
      <c r="V162" s="1586"/>
      <c r="W162" s="317"/>
      <c r="X162" s="317"/>
      <c r="Y162" s="317"/>
      <c r="Z162" s="317"/>
      <c r="AA162" s="317"/>
      <c r="AB162" s="1594"/>
      <c r="AC162" s="317"/>
      <c r="AD162" s="1594"/>
      <c r="AE162" s="1594"/>
      <c r="AF162" s="1594"/>
      <c r="AG162" s="1594"/>
      <c r="AH162" s="1594"/>
      <c r="AI162" s="1594"/>
      <c r="AJ162" s="1594"/>
      <c r="AK162" s="1594"/>
      <c r="AL162" s="1594"/>
      <c r="AM162" s="1594"/>
      <c r="AN162" s="1594"/>
      <c r="AO162" s="1594"/>
      <c r="AP162" s="1594"/>
      <c r="AQ162" s="1594"/>
      <c r="AR162" s="1594"/>
      <c r="AS162" s="1594"/>
      <c r="AT162" s="1594"/>
      <c r="AU162" s="1594"/>
      <c r="AV162" s="1594"/>
      <c r="AW162" s="1594"/>
      <c r="AX162" s="1594"/>
      <c r="AY162" s="1594"/>
      <c r="AZ162" s="1594"/>
      <c r="BA162" s="1594"/>
      <c r="BB162" s="1594"/>
      <c r="BC162" s="1594"/>
      <c r="BD162" s="1594"/>
      <c r="BE162" s="1594"/>
      <c r="BF162" s="1594"/>
      <c r="BG162" s="1594"/>
      <c r="BH162" s="1594"/>
      <c r="BI162" s="1594"/>
      <c r="BJ162" s="1594"/>
      <c r="BK162" s="1594"/>
      <c r="BL162" s="1594"/>
      <c r="BM162" s="1594"/>
      <c r="BN162" s="1594"/>
      <c r="BO162" s="1594"/>
      <c r="BP162" s="1594"/>
      <c r="BQ162" s="1594"/>
      <c r="BR162" s="1594"/>
      <c r="BS162" s="1594"/>
      <c r="BT162" s="1594"/>
      <c r="BU162" s="1594"/>
      <c r="BV162" s="1594"/>
      <c r="BW162" s="1594"/>
      <c r="BX162" s="1594"/>
      <c r="BY162" s="1594"/>
      <c r="BZ162" s="1594"/>
      <c r="CA162" s="1594"/>
      <c r="CB162" s="1594"/>
      <c r="CC162" s="1594"/>
      <c r="CD162" s="1594"/>
      <c r="CE162" s="1594"/>
      <c r="CF162" s="1594"/>
      <c r="CG162" s="1594"/>
      <c r="CH162" s="1594"/>
      <c r="CI162" s="1594"/>
      <c r="CJ162" s="1594"/>
      <c r="CK162" s="1594"/>
      <c r="CL162" s="1594"/>
      <c r="CM162" s="1594"/>
      <c r="CN162" s="1594"/>
      <c r="CO162" s="1594"/>
      <c r="CP162" s="1594"/>
      <c r="CQ162" s="1594"/>
      <c r="CR162" s="1594"/>
      <c r="CS162" s="1594"/>
      <c r="CT162" s="1594"/>
      <c r="CU162" s="1594"/>
      <c r="CV162" s="1594"/>
      <c r="CW162" s="1594"/>
      <c r="CX162" s="1594"/>
      <c r="CY162" s="1594"/>
      <c r="CZ162" s="1594"/>
    </row>
    <row r="163" spans="1:104">
      <c r="A163" s="1584"/>
      <c r="B163" s="639"/>
      <c r="C163" s="1585"/>
      <c r="D163" s="1191"/>
      <c r="E163" s="1585"/>
      <c r="F163" s="1191"/>
      <c r="G163" s="1585"/>
      <c r="H163" s="184"/>
      <c r="I163" s="1585"/>
      <c r="J163" s="1585"/>
      <c r="K163" s="1585"/>
      <c r="L163" s="1585"/>
      <c r="M163" s="1585"/>
      <c r="N163" s="1585"/>
      <c r="O163" s="1585"/>
      <c r="P163" s="1585"/>
      <c r="Q163" s="1191"/>
      <c r="R163" s="1585"/>
      <c r="S163" s="1585"/>
      <c r="T163" s="1585"/>
      <c r="U163" s="226"/>
      <c r="V163" s="1586"/>
      <c r="W163" s="317"/>
      <c r="X163" s="317"/>
      <c r="Y163" s="317"/>
      <c r="Z163" s="317"/>
      <c r="AA163" s="317"/>
      <c r="AB163" s="1594"/>
      <c r="AC163" s="317"/>
      <c r="AD163" s="1594"/>
      <c r="AE163" s="1594"/>
      <c r="AF163" s="1594"/>
      <c r="AG163" s="1594"/>
      <c r="AH163" s="1594"/>
      <c r="AI163" s="1594"/>
      <c r="AJ163" s="1594"/>
      <c r="AK163" s="1594"/>
      <c r="AL163" s="1594"/>
      <c r="AM163" s="1594"/>
      <c r="AN163" s="1594"/>
      <c r="AO163" s="1594"/>
      <c r="AP163" s="1594"/>
      <c r="AQ163" s="1594"/>
      <c r="AR163" s="1594"/>
      <c r="AS163" s="1594"/>
      <c r="AT163" s="1594"/>
      <c r="AU163" s="1594"/>
      <c r="AV163" s="1594"/>
      <c r="AW163" s="1594"/>
      <c r="AX163" s="1594"/>
      <c r="AY163" s="1594"/>
      <c r="AZ163" s="1594"/>
      <c r="BA163" s="1594"/>
      <c r="BB163" s="1594"/>
      <c r="BC163" s="1594"/>
      <c r="BD163" s="1594"/>
      <c r="BE163" s="1594"/>
      <c r="BF163" s="1594"/>
      <c r="BG163" s="1594"/>
      <c r="BH163" s="1594"/>
      <c r="BI163" s="1594"/>
      <c r="BJ163" s="1594"/>
      <c r="BK163" s="1594"/>
      <c r="BL163" s="1594"/>
      <c r="BM163" s="1594"/>
      <c r="BN163" s="1594"/>
      <c r="BO163" s="1594"/>
      <c r="BP163" s="1594"/>
      <c r="BQ163" s="1594"/>
      <c r="BR163" s="1594"/>
      <c r="BS163" s="1594"/>
      <c r="BT163" s="1594"/>
      <c r="BU163" s="1594"/>
      <c r="BV163" s="1594"/>
      <c r="BW163" s="1594"/>
      <c r="BX163" s="1594"/>
      <c r="BY163" s="1594"/>
      <c r="BZ163" s="1594"/>
      <c r="CA163" s="1594"/>
      <c r="CB163" s="1594"/>
      <c r="CC163" s="1594"/>
      <c r="CD163" s="1594"/>
      <c r="CE163" s="1594"/>
      <c r="CF163" s="1594"/>
      <c r="CG163" s="1594"/>
      <c r="CH163" s="1594"/>
      <c r="CI163" s="1594"/>
      <c r="CJ163" s="1594"/>
      <c r="CK163" s="1594"/>
      <c r="CL163" s="1594"/>
      <c r="CM163" s="1594"/>
      <c r="CN163" s="1594"/>
      <c r="CO163" s="1594"/>
      <c r="CP163" s="1594"/>
      <c r="CQ163" s="1594"/>
      <c r="CR163" s="1594"/>
      <c r="CS163" s="1594"/>
      <c r="CT163" s="1594"/>
      <c r="CU163" s="1594"/>
      <c r="CV163" s="1594"/>
      <c r="CW163" s="1594"/>
      <c r="CX163" s="1594"/>
      <c r="CY163" s="1594"/>
      <c r="CZ163" s="1594"/>
    </row>
    <row r="164" spans="1:104" ht="13.5" thickBot="1">
      <c r="A164" s="1584"/>
      <c r="B164" s="141" t="s">
        <v>2129</v>
      </c>
      <c r="C164" s="1585"/>
      <c r="D164" s="1182">
        <f>SUM(D161:D162)</f>
        <v>0</v>
      </c>
      <c r="E164" s="1585"/>
      <c r="F164" s="1182">
        <f>SUM(F161:F162)</f>
        <v>0</v>
      </c>
      <c r="G164" s="1585"/>
      <c r="H164" s="184"/>
      <c r="I164" s="1585"/>
      <c r="J164" s="1585"/>
      <c r="K164" s="1585"/>
      <c r="L164" s="1585"/>
      <c r="M164" s="1585"/>
      <c r="N164" s="1585"/>
      <c r="O164" s="1585"/>
      <c r="P164" s="1585"/>
      <c r="Q164" s="1191"/>
      <c r="R164" s="1585"/>
      <c r="S164" s="1585"/>
      <c r="T164" s="1585"/>
      <c r="U164" s="226"/>
      <c r="V164" s="1586"/>
      <c r="W164" s="317"/>
      <c r="X164" s="317"/>
      <c r="Y164" s="317"/>
      <c r="Z164" s="317"/>
      <c r="AA164" s="317"/>
      <c r="AB164" s="1594"/>
      <c r="AC164" s="317"/>
      <c r="AD164" s="1594"/>
      <c r="AE164" s="1594"/>
      <c r="AF164" s="1594"/>
      <c r="AG164" s="1594"/>
      <c r="AH164" s="1594"/>
      <c r="AI164" s="1594"/>
      <c r="AJ164" s="1594"/>
      <c r="AK164" s="1594"/>
      <c r="AL164" s="1594"/>
      <c r="AM164" s="1594"/>
      <c r="AN164" s="1594"/>
      <c r="AO164" s="1594"/>
      <c r="AP164" s="1594"/>
      <c r="AQ164" s="1594"/>
      <c r="AR164" s="1594"/>
      <c r="AS164" s="1594"/>
      <c r="AT164" s="1594"/>
      <c r="AU164" s="1594"/>
      <c r="AV164" s="1594"/>
      <c r="AW164" s="1594"/>
      <c r="AX164" s="1594"/>
      <c r="AY164" s="1594"/>
      <c r="AZ164" s="1594"/>
      <c r="BA164" s="1594"/>
      <c r="BB164" s="1594"/>
      <c r="BC164" s="1594"/>
      <c r="BD164" s="1594"/>
      <c r="BE164" s="1594"/>
      <c r="BF164" s="1594"/>
      <c r="BG164" s="1594"/>
      <c r="BH164" s="1594"/>
      <c r="BI164" s="1594"/>
      <c r="BJ164" s="1594"/>
      <c r="BK164" s="1594"/>
      <c r="BL164" s="1594"/>
      <c r="BM164" s="1594"/>
      <c r="BN164" s="1594"/>
      <c r="BO164" s="1594"/>
      <c r="BP164" s="1594"/>
      <c r="BQ164" s="1594"/>
      <c r="BR164" s="1594"/>
      <c r="BS164" s="1594"/>
      <c r="BT164" s="1594"/>
      <c r="BU164" s="1594"/>
      <c r="BV164" s="1594"/>
      <c r="BW164" s="1594"/>
      <c r="BX164" s="1594"/>
      <c r="BY164" s="1594"/>
      <c r="BZ164" s="1594"/>
      <c r="CA164" s="1594"/>
      <c r="CB164" s="1594"/>
      <c r="CC164" s="1594"/>
      <c r="CD164" s="1594"/>
      <c r="CE164" s="1594"/>
      <c r="CF164" s="1594"/>
      <c r="CG164" s="1594"/>
      <c r="CH164" s="1594"/>
      <c r="CI164" s="1594"/>
      <c r="CJ164" s="1594"/>
      <c r="CK164" s="1594"/>
      <c r="CL164" s="1594"/>
      <c r="CM164" s="1594"/>
      <c r="CN164" s="1594"/>
      <c r="CO164" s="1594"/>
      <c r="CP164" s="1594"/>
      <c r="CQ164" s="1594"/>
      <c r="CR164" s="1594"/>
      <c r="CS164" s="1594"/>
      <c r="CT164" s="1594"/>
      <c r="CU164" s="1594"/>
      <c r="CV164" s="1594"/>
      <c r="CW164" s="1594"/>
      <c r="CX164" s="1594"/>
      <c r="CY164" s="1594"/>
      <c r="CZ164" s="1594"/>
    </row>
    <row r="165" spans="1:104" ht="13.5" thickTop="1">
      <c r="A165" s="1584"/>
      <c r="B165" s="1585"/>
      <c r="C165" s="1585"/>
      <c r="D165" s="1191"/>
      <c r="E165" s="1585"/>
      <c r="F165" s="1191"/>
      <c r="G165" s="1585"/>
      <c r="H165" s="184"/>
      <c r="I165" s="1585"/>
      <c r="J165" s="1585"/>
      <c r="K165" s="1585"/>
      <c r="L165" s="1585"/>
      <c r="M165" s="1585"/>
      <c r="N165" s="1585"/>
      <c r="O165" s="1585"/>
      <c r="P165" s="1585"/>
      <c r="Q165" s="1191"/>
      <c r="R165" s="1585"/>
      <c r="S165" s="1585"/>
      <c r="T165" s="1585"/>
      <c r="U165" s="226"/>
      <c r="V165" s="1586"/>
      <c r="W165" s="317"/>
      <c r="X165" s="317"/>
      <c r="Y165" s="317"/>
      <c r="Z165" s="317"/>
      <c r="AA165" s="317"/>
      <c r="AB165" s="1594"/>
      <c r="AC165" s="317"/>
      <c r="AD165" s="1594"/>
      <c r="AE165" s="1594"/>
      <c r="AF165" s="1594"/>
      <c r="AG165" s="1594"/>
      <c r="AH165" s="1594"/>
      <c r="AI165" s="1594"/>
      <c r="AJ165" s="1594"/>
      <c r="AK165" s="1594"/>
      <c r="AL165" s="1594"/>
      <c r="AM165" s="1594"/>
      <c r="AN165" s="1594"/>
      <c r="AO165" s="1594"/>
      <c r="AP165" s="1594"/>
      <c r="AQ165" s="1594"/>
      <c r="AR165" s="1594"/>
      <c r="AS165" s="1594"/>
      <c r="AT165" s="1594"/>
      <c r="AU165" s="1594"/>
      <c r="AV165" s="1594"/>
      <c r="AW165" s="1594"/>
      <c r="AX165" s="1594"/>
      <c r="AY165" s="1594"/>
      <c r="AZ165" s="1594"/>
      <c r="BA165" s="1594"/>
      <c r="BB165" s="1594"/>
      <c r="BC165" s="1594"/>
      <c r="BD165" s="1594"/>
      <c r="BE165" s="1594"/>
      <c r="BF165" s="1594"/>
      <c r="BG165" s="1594"/>
      <c r="BH165" s="1594"/>
      <c r="BI165" s="1594"/>
      <c r="BJ165" s="1594"/>
      <c r="BK165" s="1594"/>
      <c r="BL165" s="1594"/>
      <c r="BM165" s="1594"/>
      <c r="BN165" s="1594"/>
      <c r="BO165" s="1594"/>
      <c r="BP165" s="1594"/>
      <c r="BQ165" s="1594"/>
      <c r="BR165" s="1594"/>
      <c r="BS165" s="1594"/>
      <c r="BT165" s="1594"/>
      <c r="BU165" s="1594"/>
      <c r="BV165" s="1594"/>
      <c r="BW165" s="1594"/>
      <c r="BX165" s="1594"/>
      <c r="BY165" s="1594"/>
      <c r="BZ165" s="1594"/>
      <c r="CA165" s="1594"/>
      <c r="CB165" s="1594"/>
      <c r="CC165" s="1594"/>
      <c r="CD165" s="1594"/>
      <c r="CE165" s="1594"/>
      <c r="CF165" s="1594"/>
      <c r="CG165" s="1594"/>
      <c r="CH165" s="1594"/>
      <c r="CI165" s="1594"/>
      <c r="CJ165" s="1594"/>
      <c r="CK165" s="1594"/>
      <c r="CL165" s="1594"/>
      <c r="CM165" s="1594"/>
      <c r="CN165" s="1594"/>
      <c r="CO165" s="1594"/>
      <c r="CP165" s="1594"/>
      <c r="CQ165" s="1594"/>
      <c r="CR165" s="1594"/>
      <c r="CS165" s="1594"/>
      <c r="CT165" s="1594"/>
      <c r="CU165" s="1594"/>
      <c r="CV165" s="1594"/>
      <c r="CW165" s="1594"/>
      <c r="CX165" s="1594"/>
      <c r="CY165" s="1594"/>
      <c r="CZ165" s="1594"/>
    </row>
    <row r="166" spans="1:104">
      <c r="A166" s="1584"/>
      <c r="B166" s="1585"/>
      <c r="C166" s="1585"/>
      <c r="D166" s="1191"/>
      <c r="E166" s="1585"/>
      <c r="F166" s="1191"/>
      <c r="G166" s="1585"/>
      <c r="H166" s="184"/>
      <c r="I166" s="1585"/>
      <c r="J166" s="1585"/>
      <c r="K166" s="1585"/>
      <c r="L166" s="1585"/>
      <c r="M166" s="1585"/>
      <c r="N166" s="1585"/>
      <c r="O166" s="1585"/>
      <c r="P166" s="1585"/>
      <c r="Q166" s="1191"/>
      <c r="R166" s="1585"/>
      <c r="S166" s="1585"/>
      <c r="T166" s="1585"/>
      <c r="U166" s="226"/>
      <c r="V166" s="1586"/>
      <c r="W166" s="317"/>
      <c r="X166" s="317"/>
      <c r="Y166" s="317"/>
      <c r="Z166" s="317"/>
      <c r="AA166" s="317"/>
      <c r="AB166" s="1594"/>
      <c r="AC166" s="317"/>
      <c r="AD166" s="1594"/>
      <c r="AE166" s="1594"/>
      <c r="AF166" s="1594"/>
      <c r="AG166" s="1594"/>
      <c r="AH166" s="1594"/>
      <c r="AI166" s="1594"/>
      <c r="AJ166" s="1594"/>
      <c r="AK166" s="1594"/>
      <c r="AL166" s="1594"/>
      <c r="AM166" s="1594"/>
      <c r="AN166" s="1594"/>
      <c r="AO166" s="1594"/>
      <c r="AP166" s="1594"/>
      <c r="AQ166" s="1594"/>
      <c r="AR166" s="1594"/>
      <c r="AS166" s="1594"/>
      <c r="AT166" s="1594"/>
      <c r="AU166" s="1594"/>
      <c r="AV166" s="1594"/>
      <c r="AW166" s="1594"/>
      <c r="AX166" s="1594"/>
      <c r="AY166" s="1594"/>
      <c r="AZ166" s="1594"/>
      <c r="BA166" s="1594"/>
      <c r="BB166" s="1594"/>
      <c r="BC166" s="1594"/>
      <c r="BD166" s="1594"/>
      <c r="BE166" s="1594"/>
      <c r="BF166" s="1594"/>
      <c r="BG166" s="1594"/>
      <c r="BH166" s="1594"/>
      <c r="BI166" s="1594"/>
      <c r="BJ166" s="1594"/>
      <c r="BK166" s="1594"/>
      <c r="BL166" s="1594"/>
      <c r="BM166" s="1594"/>
      <c r="BN166" s="1594"/>
      <c r="BO166" s="1594"/>
      <c r="BP166" s="1594"/>
      <c r="BQ166" s="1594"/>
      <c r="BR166" s="1594"/>
      <c r="BS166" s="1594"/>
      <c r="BT166" s="1594"/>
      <c r="BU166" s="1594"/>
      <c r="BV166" s="1594"/>
      <c r="BW166" s="1594"/>
      <c r="BX166" s="1594"/>
      <c r="BY166" s="1594"/>
      <c r="BZ166" s="1594"/>
      <c r="CA166" s="1594"/>
      <c r="CB166" s="1594"/>
      <c r="CC166" s="1594"/>
      <c r="CD166" s="1594"/>
      <c r="CE166" s="1594"/>
      <c r="CF166" s="1594"/>
      <c r="CG166" s="1594"/>
      <c r="CH166" s="1594"/>
      <c r="CI166" s="1594"/>
      <c r="CJ166" s="1594"/>
      <c r="CK166" s="1594"/>
      <c r="CL166" s="1594"/>
      <c r="CM166" s="1594"/>
      <c r="CN166" s="1594"/>
      <c r="CO166" s="1594"/>
      <c r="CP166" s="1594"/>
      <c r="CQ166" s="1594"/>
      <c r="CR166" s="1594"/>
      <c r="CS166" s="1594"/>
      <c r="CT166" s="1594"/>
      <c r="CU166" s="1594"/>
      <c r="CV166" s="1594"/>
      <c r="CW166" s="1594"/>
      <c r="CX166" s="1594"/>
      <c r="CY166" s="1594"/>
      <c r="CZ166" s="1594"/>
    </row>
    <row r="167" spans="1:104">
      <c r="A167" s="1589">
        <v>22.2</v>
      </c>
      <c r="B167" s="141" t="s">
        <v>2130</v>
      </c>
      <c r="C167" s="142"/>
      <c r="D167" s="144"/>
      <c r="E167" s="142"/>
      <c r="F167" s="144"/>
      <c r="G167" s="135"/>
      <c r="H167" s="185"/>
      <c r="I167" s="135"/>
      <c r="J167" s="135"/>
      <c r="K167" s="135"/>
      <c r="L167" s="135"/>
      <c r="M167" s="135"/>
      <c r="N167" s="135"/>
      <c r="O167" s="135"/>
      <c r="P167" s="135"/>
      <c r="Q167" s="317"/>
      <c r="R167" s="1594"/>
      <c r="S167" s="1594"/>
      <c r="T167" s="1594"/>
      <c r="U167" s="621"/>
      <c r="V167" s="223"/>
      <c r="W167" s="317"/>
      <c r="X167" s="317"/>
      <c r="Y167" s="317"/>
      <c r="Z167" s="317"/>
      <c r="AA167" s="317"/>
      <c r="AB167" s="1594"/>
      <c r="AC167" s="317"/>
      <c r="AD167" s="1594"/>
      <c r="AE167" s="1594"/>
      <c r="AF167" s="1594"/>
      <c r="AG167" s="1594"/>
      <c r="AH167" s="1594"/>
      <c r="AI167" s="1594"/>
      <c r="AJ167" s="1594"/>
      <c r="AK167" s="1594"/>
      <c r="AL167" s="1594"/>
      <c r="AM167" s="1594"/>
      <c r="AN167" s="1594"/>
      <c r="AO167" s="1594"/>
      <c r="AP167" s="1594"/>
      <c r="AQ167" s="1594"/>
      <c r="AR167" s="1594"/>
      <c r="AS167" s="1594"/>
      <c r="AT167" s="1594"/>
      <c r="AU167" s="1594"/>
      <c r="AV167" s="1594"/>
      <c r="AW167" s="1594"/>
      <c r="AX167" s="1594"/>
      <c r="AY167" s="1594"/>
      <c r="AZ167" s="1594"/>
      <c r="BA167" s="1594"/>
      <c r="BB167" s="1594"/>
      <c r="BC167" s="1594"/>
      <c r="BD167" s="1594"/>
      <c r="BE167" s="1594"/>
      <c r="BF167" s="1594"/>
      <c r="BG167" s="1594"/>
      <c r="BH167" s="1594"/>
      <c r="BI167" s="1594"/>
      <c r="BJ167" s="1594"/>
      <c r="BK167" s="1594"/>
      <c r="BL167" s="1594"/>
      <c r="BM167" s="1594"/>
      <c r="BN167" s="1594"/>
      <c r="BO167" s="1594"/>
      <c r="BP167" s="1594"/>
      <c r="BQ167" s="1594"/>
      <c r="BR167" s="1594"/>
      <c r="BS167" s="1594"/>
      <c r="BT167" s="1594"/>
      <c r="BU167" s="1594"/>
      <c r="BV167" s="1594"/>
      <c r="BW167" s="1594"/>
      <c r="BX167" s="1594"/>
      <c r="BY167" s="1594"/>
      <c r="BZ167" s="1594"/>
      <c r="CA167" s="1594"/>
      <c r="CB167" s="1594"/>
      <c r="CC167" s="1594"/>
      <c r="CD167" s="1594"/>
      <c r="CE167" s="1594"/>
      <c r="CF167" s="1594"/>
      <c r="CG167" s="1594"/>
      <c r="CH167" s="1594"/>
      <c r="CI167" s="1594"/>
      <c r="CJ167" s="1594"/>
      <c r="CK167" s="1594"/>
      <c r="CL167" s="1594"/>
      <c r="CM167" s="1594"/>
      <c r="CN167" s="1594"/>
      <c r="CO167" s="1594"/>
      <c r="CP167" s="1594"/>
      <c r="CQ167" s="1594"/>
      <c r="CR167" s="1594"/>
      <c r="CS167" s="1594"/>
      <c r="CT167" s="1594"/>
      <c r="CU167" s="1594"/>
      <c r="CV167" s="1594"/>
      <c r="CW167" s="1594"/>
      <c r="CX167" s="1594"/>
      <c r="CY167" s="1594"/>
      <c r="CZ167" s="1594"/>
    </row>
    <row r="168" spans="1:104">
      <c r="A168" s="1589"/>
      <c r="B168" s="142"/>
      <c r="C168" s="142"/>
      <c r="D168" s="144"/>
      <c r="E168" s="142"/>
      <c r="F168" s="144"/>
      <c r="G168" s="135"/>
      <c r="H168" s="185"/>
      <c r="I168" s="135"/>
      <c r="J168" s="135"/>
      <c r="K168" s="135"/>
      <c r="L168" s="135"/>
      <c r="M168" s="135"/>
      <c r="N168" s="135"/>
      <c r="O168" s="135"/>
      <c r="P168" s="135"/>
      <c r="Q168" s="317"/>
      <c r="R168" s="1594"/>
      <c r="S168" s="1594"/>
      <c r="T168" s="1594"/>
      <c r="U168" s="621"/>
      <c r="V168" s="223"/>
      <c r="W168" s="317"/>
      <c r="X168" s="317"/>
      <c r="Y168" s="317"/>
      <c r="Z168" s="317"/>
      <c r="AA168" s="317"/>
      <c r="AB168" s="1594"/>
      <c r="AC168" s="317"/>
      <c r="AD168" s="1594"/>
      <c r="AE168" s="1594"/>
      <c r="AF168" s="1594"/>
      <c r="AG168" s="1594"/>
      <c r="AH168" s="1594"/>
      <c r="AI168" s="1594"/>
      <c r="AJ168" s="1594"/>
      <c r="AK168" s="1594"/>
      <c r="AL168" s="1594"/>
      <c r="AM168" s="1594"/>
      <c r="AN168" s="1594"/>
      <c r="AO168" s="1594"/>
      <c r="AP168" s="1594"/>
      <c r="AQ168" s="1594"/>
      <c r="AR168" s="1594"/>
      <c r="AS168" s="1594"/>
      <c r="AT168" s="1594"/>
      <c r="AU168" s="1594"/>
      <c r="AV168" s="1594"/>
      <c r="AW168" s="1594"/>
      <c r="AX168" s="1594"/>
      <c r="AY168" s="1594"/>
      <c r="AZ168" s="1594"/>
      <c r="BA168" s="1594"/>
      <c r="BB168" s="1594"/>
      <c r="BC168" s="1594"/>
      <c r="BD168" s="1594"/>
      <c r="BE168" s="1594"/>
      <c r="BF168" s="1594"/>
      <c r="BG168" s="1594"/>
      <c r="BH168" s="1594"/>
      <c r="BI168" s="1594"/>
      <c r="BJ168" s="1594"/>
      <c r="BK168" s="1594"/>
      <c r="BL168" s="1594"/>
      <c r="BM168" s="1594"/>
      <c r="BN168" s="1594"/>
      <c r="BO168" s="1594"/>
      <c r="BP168" s="1594"/>
      <c r="BQ168" s="1594"/>
      <c r="BR168" s="1594"/>
      <c r="BS168" s="1594"/>
      <c r="BT168" s="1594"/>
      <c r="BU168" s="1594"/>
      <c r="BV168" s="1594"/>
      <c r="BW168" s="1594"/>
      <c r="BX168" s="1594"/>
      <c r="BY168" s="1594"/>
      <c r="BZ168" s="1594"/>
      <c r="CA168" s="1594"/>
      <c r="CB168" s="1594"/>
      <c r="CC168" s="1594"/>
      <c r="CD168" s="1594"/>
      <c r="CE168" s="1594"/>
      <c r="CF168" s="1594"/>
      <c r="CG168" s="1594"/>
      <c r="CH168" s="1594"/>
      <c r="CI168" s="1594"/>
      <c r="CJ168" s="1594"/>
      <c r="CK168" s="1594"/>
      <c r="CL168" s="1594"/>
      <c r="CM168" s="1594"/>
      <c r="CN168" s="1594"/>
      <c r="CO168" s="1594"/>
      <c r="CP168" s="1594"/>
      <c r="CQ168" s="1594"/>
      <c r="CR168" s="1594"/>
      <c r="CS168" s="1594"/>
      <c r="CT168" s="1594"/>
      <c r="CU168" s="1594"/>
      <c r="CV168" s="1594"/>
      <c r="CW168" s="1594"/>
      <c r="CX168" s="1594"/>
      <c r="CY168" s="1594"/>
      <c r="CZ168" s="1594"/>
    </row>
    <row r="169" spans="1:104">
      <c r="A169" s="1584"/>
      <c r="B169" s="313" t="s">
        <v>2131</v>
      </c>
      <c r="C169" s="1595"/>
      <c r="D169" s="262"/>
      <c r="E169" s="1595"/>
      <c r="F169" s="262"/>
      <c r="G169" s="1594"/>
      <c r="Q169" s="539"/>
      <c r="R169" s="1594"/>
      <c r="S169" s="1594"/>
      <c r="T169" s="1594"/>
      <c r="U169" s="626"/>
      <c r="V169" s="499"/>
      <c r="W169" s="317"/>
      <c r="X169" s="317"/>
      <c r="Y169" s="317"/>
      <c r="Z169" s="317"/>
      <c r="AA169" s="317"/>
      <c r="AB169" s="1594"/>
      <c r="AC169" s="317"/>
      <c r="AD169" s="1594"/>
      <c r="AE169" s="1594"/>
      <c r="AF169" s="1594"/>
      <c r="AG169" s="1594"/>
      <c r="AH169" s="1594"/>
      <c r="AI169" s="1594"/>
      <c r="AJ169" s="1594"/>
      <c r="AK169" s="1594"/>
      <c r="AL169" s="1594"/>
      <c r="AM169" s="1594"/>
      <c r="AN169" s="1594"/>
      <c r="AO169" s="1594"/>
      <c r="AP169" s="1594"/>
      <c r="AQ169" s="1594"/>
      <c r="AR169" s="1594"/>
      <c r="AS169" s="1594"/>
      <c r="AT169" s="1594"/>
      <c r="AU169" s="1594"/>
      <c r="AV169" s="1594"/>
      <c r="AW169" s="1594"/>
      <c r="AX169" s="1594"/>
      <c r="AY169" s="1594"/>
      <c r="AZ169" s="1594"/>
      <c r="BA169" s="1594"/>
      <c r="BB169" s="1594"/>
      <c r="BC169" s="1594"/>
      <c r="BD169" s="1594"/>
      <c r="BE169" s="1594"/>
      <c r="BF169" s="1594"/>
      <c r="BG169" s="1594"/>
      <c r="BH169" s="1594"/>
      <c r="BI169" s="1594"/>
      <c r="BJ169" s="1594"/>
      <c r="BK169" s="1594"/>
      <c r="BL169" s="1594"/>
      <c r="BM169" s="1594"/>
      <c r="BN169" s="1594"/>
      <c r="BO169" s="1594"/>
      <c r="BP169" s="1594"/>
      <c r="BQ169" s="1594"/>
      <c r="BR169" s="1594"/>
      <c r="BS169" s="1594"/>
      <c r="BT169" s="1594"/>
      <c r="BU169" s="1594"/>
      <c r="BV169" s="1594"/>
      <c r="BW169" s="1594"/>
      <c r="BX169" s="1594"/>
      <c r="BY169" s="1594"/>
      <c r="BZ169" s="1594"/>
      <c r="CA169" s="1594"/>
      <c r="CB169" s="1594"/>
      <c r="CC169" s="1594"/>
      <c r="CD169" s="1594"/>
      <c r="CE169" s="1594"/>
      <c r="CF169" s="1594"/>
      <c r="CG169" s="1594"/>
      <c r="CH169" s="1594"/>
      <c r="CI169" s="1594"/>
      <c r="CJ169" s="1594"/>
      <c r="CK169" s="1594"/>
      <c r="CL169" s="1594"/>
      <c r="CM169" s="1594"/>
      <c r="CN169" s="1594"/>
      <c r="CO169" s="1594"/>
      <c r="CP169" s="1594"/>
      <c r="CQ169" s="1594"/>
      <c r="CR169" s="1594"/>
      <c r="CS169" s="1594"/>
      <c r="CT169" s="1594"/>
      <c r="CU169" s="1594"/>
      <c r="CV169" s="1594"/>
      <c r="CW169" s="1594"/>
      <c r="CX169" s="1594"/>
      <c r="CY169" s="1594"/>
      <c r="CZ169" s="1594"/>
    </row>
    <row r="170" spans="1:104">
      <c r="A170" s="1584"/>
      <c r="B170" s="313" t="s">
        <v>2132</v>
      </c>
      <c r="C170" s="1595"/>
      <c r="D170" s="331"/>
      <c r="E170" s="1595"/>
      <c r="F170" s="331"/>
      <c r="G170" s="1594"/>
      <c r="Q170" s="563"/>
      <c r="R170" s="1594"/>
      <c r="S170" s="1594"/>
      <c r="T170" s="1594"/>
      <c r="U170" s="648"/>
      <c r="V170" s="499"/>
      <c r="W170" s="317"/>
      <c r="X170" s="317"/>
      <c r="Y170" s="317"/>
      <c r="Z170" s="317"/>
      <c r="AA170" s="317"/>
      <c r="AB170" s="1594"/>
      <c r="AC170" s="317"/>
      <c r="AD170" s="1594"/>
      <c r="AE170" s="1594"/>
      <c r="AF170" s="1594"/>
      <c r="AG170" s="1594"/>
      <c r="AH170" s="1594"/>
      <c r="AI170" s="1594"/>
      <c r="AJ170" s="1594"/>
      <c r="AK170" s="1594"/>
      <c r="AL170" s="1594"/>
      <c r="AM170" s="1594"/>
      <c r="AN170" s="1594"/>
      <c r="AO170" s="1594"/>
      <c r="AP170" s="1594"/>
      <c r="AQ170" s="1594"/>
      <c r="AR170" s="1594"/>
      <c r="AS170" s="1594"/>
      <c r="AT170" s="1594"/>
      <c r="AU170" s="1594"/>
      <c r="AV170" s="1594"/>
      <c r="AW170" s="1594"/>
      <c r="AX170" s="1594"/>
      <c r="AY170" s="1594"/>
      <c r="AZ170" s="1594"/>
      <c r="BA170" s="1594"/>
      <c r="BB170" s="1594"/>
      <c r="BC170" s="1594"/>
      <c r="BD170" s="1594"/>
      <c r="BE170" s="1594"/>
      <c r="BF170" s="1594"/>
      <c r="BG170" s="1594"/>
      <c r="BH170" s="1594"/>
      <c r="BI170" s="1594"/>
      <c r="BJ170" s="1594"/>
      <c r="BK170" s="1594"/>
      <c r="BL170" s="1594"/>
      <c r="BM170" s="1594"/>
      <c r="BN170" s="1594"/>
      <c r="BO170" s="1594"/>
      <c r="BP170" s="1594"/>
      <c r="BQ170" s="1594"/>
      <c r="BR170" s="1594"/>
      <c r="BS170" s="1594"/>
      <c r="BT170" s="1594"/>
      <c r="BU170" s="1594"/>
      <c r="BV170" s="1594"/>
      <c r="BW170" s="1594"/>
      <c r="BX170" s="1594"/>
      <c r="BY170" s="1594"/>
      <c r="BZ170" s="1594"/>
      <c r="CA170" s="1594"/>
      <c r="CB170" s="1594"/>
      <c r="CC170" s="1594"/>
      <c r="CD170" s="1594"/>
      <c r="CE170" s="1594"/>
      <c r="CF170" s="1594"/>
      <c r="CG170" s="1594"/>
      <c r="CH170" s="1594"/>
      <c r="CI170" s="1594"/>
      <c r="CJ170" s="1594"/>
      <c r="CK170" s="1594"/>
      <c r="CL170" s="1594"/>
      <c r="CM170" s="1594"/>
      <c r="CN170" s="1594"/>
      <c r="CO170" s="1594"/>
      <c r="CP170" s="1594"/>
      <c r="CQ170" s="1594"/>
      <c r="CR170" s="1594"/>
      <c r="CS170" s="1594"/>
      <c r="CT170" s="1594"/>
      <c r="CU170" s="1594"/>
      <c r="CV170" s="1594"/>
      <c r="CW170" s="1594"/>
      <c r="CX170" s="1594"/>
      <c r="CY170" s="1594"/>
      <c r="CZ170" s="1594"/>
    </row>
    <row r="171" spans="1:104">
      <c r="A171" s="1584"/>
      <c r="B171" s="313" t="s">
        <v>46</v>
      </c>
      <c r="C171" s="1595"/>
      <c r="D171" s="327">
        <v>0</v>
      </c>
      <c r="E171" s="1595"/>
      <c r="F171" s="327"/>
      <c r="G171" s="1594"/>
      <c r="Q171" s="317"/>
      <c r="R171" s="1594"/>
      <c r="S171" s="1594"/>
      <c r="T171" s="1594"/>
      <c r="U171" s="621"/>
      <c r="V171" s="499"/>
      <c r="W171" s="317"/>
      <c r="X171" s="317"/>
      <c r="Y171" s="317"/>
      <c r="Z171" s="317"/>
      <c r="AA171" s="317"/>
      <c r="AB171" s="1594"/>
      <c r="AC171" s="317"/>
      <c r="AD171" s="1594"/>
      <c r="AE171" s="1594"/>
      <c r="AF171" s="1594"/>
      <c r="AG171" s="1594"/>
      <c r="AH171" s="1594"/>
      <c r="AI171" s="1594"/>
      <c r="AJ171" s="1594"/>
      <c r="AK171" s="1594"/>
      <c r="AL171" s="1594"/>
      <c r="AM171" s="1594"/>
      <c r="AN171" s="1594"/>
      <c r="AO171" s="1594"/>
      <c r="AP171" s="1594"/>
      <c r="AQ171" s="1594"/>
      <c r="AR171" s="1594"/>
      <c r="AS171" s="1594"/>
      <c r="AT171" s="1594"/>
      <c r="AU171" s="1594"/>
      <c r="AV171" s="1594"/>
      <c r="AW171" s="1594"/>
      <c r="AX171" s="1594"/>
      <c r="AY171" s="1594"/>
      <c r="AZ171" s="1594"/>
      <c r="BA171" s="1594"/>
      <c r="BB171" s="1594"/>
      <c r="BC171" s="1594"/>
      <c r="BD171" s="1594"/>
      <c r="BE171" s="1594"/>
      <c r="BF171" s="1594"/>
      <c r="BG171" s="1594"/>
      <c r="BH171" s="1594"/>
      <c r="BI171" s="1594"/>
      <c r="BJ171" s="1594"/>
      <c r="BK171" s="1594"/>
      <c r="BL171" s="1594"/>
      <c r="BM171" s="1594"/>
      <c r="BN171" s="1594"/>
      <c r="BO171" s="1594"/>
      <c r="BP171" s="1594"/>
      <c r="BQ171" s="1594"/>
      <c r="BR171" s="1594"/>
      <c r="BS171" s="1594"/>
      <c r="BT171" s="1594"/>
      <c r="BU171" s="1594"/>
      <c r="BV171" s="1594"/>
      <c r="BW171" s="1594"/>
      <c r="BX171" s="1594"/>
      <c r="BY171" s="1594"/>
      <c r="BZ171" s="1594"/>
      <c r="CA171" s="1594"/>
      <c r="CB171" s="1594"/>
      <c r="CC171" s="1594"/>
      <c r="CD171" s="1594"/>
      <c r="CE171" s="1594"/>
      <c r="CF171" s="1594"/>
      <c r="CG171" s="1594"/>
      <c r="CH171" s="1594"/>
      <c r="CI171" s="1594"/>
      <c r="CJ171" s="1594"/>
      <c r="CK171" s="1594"/>
      <c r="CL171" s="1594"/>
      <c r="CM171" s="1594"/>
      <c r="CN171" s="1594"/>
      <c r="CO171" s="1594"/>
      <c r="CP171" s="1594"/>
      <c r="CQ171" s="1594"/>
      <c r="CR171" s="1594"/>
      <c r="CS171" s="1594"/>
      <c r="CT171" s="1594"/>
      <c r="CU171" s="1594"/>
      <c r="CV171" s="1594"/>
      <c r="CW171" s="1594"/>
      <c r="CX171" s="1594"/>
      <c r="CY171" s="1594"/>
      <c r="CZ171" s="1594"/>
    </row>
    <row r="172" spans="1:104">
      <c r="A172" s="1584"/>
      <c r="C172" s="1595"/>
      <c r="D172" s="325"/>
      <c r="E172" s="1595"/>
      <c r="F172" s="325"/>
      <c r="G172" s="1594"/>
      <c r="Q172" s="317"/>
      <c r="R172" s="1594"/>
      <c r="S172" s="1594"/>
      <c r="T172" s="1594"/>
      <c r="U172" s="621"/>
      <c r="V172" s="499"/>
      <c r="W172" s="317"/>
      <c r="X172" s="317"/>
      <c r="Y172" s="317"/>
      <c r="Z172" s="317"/>
      <c r="AA172" s="317"/>
      <c r="AB172" s="1594"/>
      <c r="AC172" s="317"/>
      <c r="AD172" s="1594"/>
      <c r="AE172" s="1594"/>
      <c r="AF172" s="1594"/>
      <c r="AG172" s="1594"/>
      <c r="AH172" s="1594"/>
      <c r="AI172" s="1594"/>
      <c r="AJ172" s="1594"/>
      <c r="AK172" s="1594"/>
      <c r="AL172" s="1594"/>
      <c r="AM172" s="1594"/>
      <c r="AN172" s="1594"/>
      <c r="AO172" s="1594"/>
      <c r="AP172" s="1594"/>
      <c r="AQ172" s="1594"/>
      <c r="AR172" s="1594"/>
      <c r="AS172" s="1594"/>
      <c r="AT172" s="1594"/>
      <c r="AU172" s="1594"/>
      <c r="AV172" s="1594"/>
      <c r="AW172" s="1594"/>
      <c r="AX172" s="1594"/>
      <c r="AY172" s="1594"/>
      <c r="AZ172" s="1594"/>
      <c r="BA172" s="1594"/>
      <c r="BB172" s="1594"/>
      <c r="BC172" s="1594"/>
      <c r="BD172" s="1594"/>
      <c r="BE172" s="1594"/>
      <c r="BF172" s="1594"/>
      <c r="BG172" s="1594"/>
      <c r="BH172" s="1594"/>
      <c r="BI172" s="1594"/>
      <c r="BJ172" s="1594"/>
      <c r="BK172" s="1594"/>
      <c r="BL172" s="1594"/>
      <c r="BM172" s="1594"/>
      <c r="BN172" s="1594"/>
      <c r="BO172" s="1594"/>
      <c r="BP172" s="1594"/>
      <c r="BQ172" s="1594"/>
      <c r="BR172" s="1594"/>
      <c r="BS172" s="1594"/>
      <c r="BT172" s="1594"/>
      <c r="BU172" s="1594"/>
      <c r="BV172" s="1594"/>
      <c r="BW172" s="1594"/>
      <c r="BX172" s="1594"/>
      <c r="BY172" s="1594"/>
      <c r="BZ172" s="1594"/>
      <c r="CA172" s="1594"/>
      <c r="CB172" s="1594"/>
      <c r="CC172" s="1594"/>
      <c r="CD172" s="1594"/>
      <c r="CE172" s="1594"/>
      <c r="CF172" s="1594"/>
      <c r="CG172" s="1594"/>
      <c r="CH172" s="1594"/>
      <c r="CI172" s="1594"/>
      <c r="CJ172" s="1594"/>
      <c r="CK172" s="1594"/>
      <c r="CL172" s="1594"/>
      <c r="CM172" s="1594"/>
      <c r="CN172" s="1594"/>
      <c r="CO172" s="1594"/>
      <c r="CP172" s="1594"/>
      <c r="CQ172" s="1594"/>
      <c r="CR172" s="1594"/>
      <c r="CS172" s="1594"/>
      <c r="CT172" s="1594"/>
      <c r="CU172" s="1594"/>
      <c r="CV172" s="1594"/>
      <c r="CW172" s="1594"/>
      <c r="CX172" s="1594"/>
      <c r="CY172" s="1594"/>
      <c r="CZ172" s="1594"/>
    </row>
    <row r="173" spans="1:104" ht="13.5" thickBot="1">
      <c r="A173" s="1584"/>
      <c r="B173" s="141" t="s">
        <v>2133</v>
      </c>
      <c r="C173" s="142"/>
      <c r="D173" s="143">
        <f>SUM(D169:D170)</f>
        <v>0</v>
      </c>
      <c r="E173" s="142"/>
      <c r="F173" s="143">
        <f>SUM(F169:F170)</f>
        <v>0</v>
      </c>
      <c r="G173" s="1594"/>
      <c r="Q173" s="143">
        <f>SUM(Q169:Q170)</f>
        <v>0</v>
      </c>
      <c r="R173" s="135"/>
      <c r="S173" s="135"/>
      <c r="T173" s="135"/>
      <c r="U173" s="246">
        <f>SUM(U169:U170)</f>
        <v>0</v>
      </c>
      <c r="V173" s="499"/>
      <c r="W173" s="317"/>
      <c r="X173" s="317"/>
      <c r="Y173" s="317"/>
      <c r="Z173" s="317"/>
      <c r="AA173" s="317"/>
      <c r="AB173" s="1594"/>
      <c r="AC173" s="317"/>
      <c r="AD173" s="1594"/>
      <c r="AE173" s="1594"/>
      <c r="AF173" s="1594"/>
      <c r="AG173" s="1594"/>
      <c r="AH173" s="1594"/>
      <c r="AI173" s="1594"/>
      <c r="AJ173" s="1594"/>
      <c r="AK173" s="1594"/>
      <c r="AL173" s="1594"/>
      <c r="AM173" s="1594"/>
      <c r="AN173" s="1594"/>
      <c r="AO173" s="1594"/>
      <c r="AP173" s="1594"/>
      <c r="AQ173" s="1594"/>
      <c r="AR173" s="1594"/>
      <c r="AS173" s="1594"/>
      <c r="AT173" s="1594"/>
      <c r="AU173" s="1594"/>
      <c r="AV173" s="1594"/>
      <c r="AW173" s="1594"/>
      <c r="AX173" s="1594"/>
      <c r="AY173" s="1594"/>
      <c r="AZ173" s="1594"/>
      <c r="BA173" s="1594"/>
      <c r="BB173" s="1594"/>
      <c r="BC173" s="1594"/>
      <c r="BD173" s="1594"/>
      <c r="BE173" s="1594"/>
      <c r="BF173" s="1594"/>
      <c r="BG173" s="1594"/>
      <c r="BH173" s="1594"/>
      <c r="BI173" s="1594"/>
      <c r="BJ173" s="1594"/>
      <c r="BK173" s="1594"/>
      <c r="BL173" s="1594"/>
      <c r="BM173" s="1594"/>
      <c r="BN173" s="1594"/>
      <c r="BO173" s="1594"/>
      <c r="BP173" s="1594"/>
      <c r="BQ173" s="1594"/>
      <c r="BR173" s="1594"/>
      <c r="BS173" s="1594"/>
      <c r="BT173" s="1594"/>
      <c r="BU173" s="1594"/>
      <c r="BV173" s="1594"/>
      <c r="BW173" s="1594"/>
      <c r="BX173" s="1594"/>
      <c r="BY173" s="1594"/>
      <c r="BZ173" s="1594"/>
      <c r="CA173" s="1594"/>
      <c r="CB173" s="1594"/>
      <c r="CC173" s="1594"/>
      <c r="CD173" s="1594"/>
      <c r="CE173" s="1594"/>
      <c r="CF173" s="1594"/>
      <c r="CG173" s="1594"/>
      <c r="CH173" s="1594"/>
      <c r="CI173" s="1594"/>
      <c r="CJ173" s="1594"/>
      <c r="CK173" s="1594"/>
      <c r="CL173" s="1594"/>
      <c r="CM173" s="1594"/>
      <c r="CN173" s="1594"/>
      <c r="CO173" s="1594"/>
      <c r="CP173" s="1594"/>
      <c r="CQ173" s="1594"/>
      <c r="CR173" s="1594"/>
      <c r="CS173" s="1594"/>
      <c r="CT173" s="1594"/>
      <c r="CU173" s="1594"/>
      <c r="CV173" s="1594"/>
      <c r="CW173" s="1594"/>
      <c r="CX173" s="1594"/>
      <c r="CY173" s="1594"/>
      <c r="CZ173" s="1594"/>
    </row>
    <row r="174" spans="1:104" ht="13.5" thickTop="1">
      <c r="A174" s="1584"/>
      <c r="B174" s="141"/>
      <c r="C174" s="142"/>
      <c r="D174" s="136"/>
      <c r="E174" s="142"/>
      <c r="F174" s="136"/>
      <c r="G174" s="1594"/>
      <c r="Q174" s="136"/>
      <c r="R174" s="135"/>
      <c r="S174" s="135"/>
      <c r="T174" s="135"/>
      <c r="U174" s="227"/>
      <c r="V174" s="499"/>
      <c r="W174" s="317"/>
      <c r="X174" s="317"/>
      <c r="Y174" s="317"/>
      <c r="Z174" s="317"/>
      <c r="AA174" s="317"/>
      <c r="AB174" s="1594"/>
      <c r="AC174" s="317"/>
      <c r="AD174" s="1594"/>
      <c r="AE174" s="1594"/>
      <c r="AF174" s="1594"/>
      <c r="AG174" s="1594"/>
      <c r="AH174" s="1594"/>
      <c r="AI174" s="1594"/>
      <c r="AJ174" s="1594"/>
      <c r="AK174" s="1594"/>
      <c r="AL174" s="1594"/>
      <c r="AM174" s="1594"/>
      <c r="AN174" s="1594"/>
      <c r="AO174" s="1594"/>
      <c r="AP174" s="1594"/>
      <c r="AQ174" s="1594"/>
      <c r="AR174" s="1594"/>
      <c r="AS174" s="1594"/>
      <c r="AT174" s="1594"/>
      <c r="AU174" s="1594"/>
      <c r="AV174" s="1594"/>
      <c r="AW174" s="1594"/>
      <c r="AX174" s="1594"/>
      <c r="AY174" s="1594"/>
      <c r="AZ174" s="1594"/>
      <c r="BA174" s="1594"/>
      <c r="BB174" s="1594"/>
      <c r="BC174" s="1594"/>
      <c r="BD174" s="1594"/>
      <c r="BE174" s="1594"/>
      <c r="BF174" s="1594"/>
      <c r="BG174" s="1594"/>
      <c r="BH174" s="1594"/>
      <c r="BI174" s="1594"/>
      <c r="BJ174" s="1594"/>
      <c r="BK174" s="1594"/>
      <c r="BL174" s="1594"/>
      <c r="BM174" s="1594"/>
      <c r="BN174" s="1594"/>
      <c r="BO174" s="1594"/>
      <c r="BP174" s="1594"/>
      <c r="BQ174" s="1594"/>
      <c r="BR174" s="1594"/>
      <c r="BS174" s="1594"/>
      <c r="BT174" s="1594"/>
      <c r="BU174" s="1594"/>
      <c r="BV174" s="1594"/>
      <c r="BW174" s="1594"/>
      <c r="BX174" s="1594"/>
      <c r="BY174" s="1594"/>
      <c r="BZ174" s="1594"/>
      <c r="CA174" s="1594"/>
      <c r="CB174" s="1594"/>
      <c r="CC174" s="1594"/>
      <c r="CD174" s="1594"/>
      <c r="CE174" s="1594"/>
      <c r="CF174" s="1594"/>
      <c r="CG174" s="1594"/>
      <c r="CH174" s="1594"/>
      <c r="CI174" s="1594"/>
      <c r="CJ174" s="1594"/>
      <c r="CK174" s="1594"/>
      <c r="CL174" s="1594"/>
      <c r="CM174" s="1594"/>
      <c r="CN174" s="1594"/>
      <c r="CO174" s="1594"/>
      <c r="CP174" s="1594"/>
      <c r="CQ174" s="1594"/>
      <c r="CR174" s="1594"/>
      <c r="CS174" s="1594"/>
      <c r="CT174" s="1594"/>
      <c r="CU174" s="1594"/>
      <c r="CV174" s="1594"/>
      <c r="CW174" s="1594"/>
      <c r="CX174" s="1594"/>
      <c r="CY174" s="1594"/>
      <c r="CZ174" s="1594"/>
    </row>
    <row r="175" spans="1:104">
      <c r="A175" s="1584"/>
      <c r="B175" s="141" t="s">
        <v>2134</v>
      </c>
      <c r="C175" s="142"/>
      <c r="D175" s="136"/>
      <c r="E175" s="142"/>
      <c r="F175" s="136"/>
      <c r="G175" s="1594"/>
      <c r="Q175" s="136"/>
      <c r="R175" s="135"/>
      <c r="S175" s="135"/>
      <c r="T175" s="135"/>
      <c r="U175" s="227"/>
      <c r="V175" s="499"/>
      <c r="W175" s="317"/>
      <c r="X175" s="317"/>
      <c r="Y175" s="317"/>
      <c r="Z175" s="317"/>
      <c r="AA175" s="317"/>
      <c r="AB175" s="1594"/>
      <c r="AC175" s="317"/>
      <c r="AD175" s="1594"/>
      <c r="AE175" s="1594"/>
      <c r="AF175" s="1594"/>
      <c r="AG175" s="1594"/>
      <c r="AH175" s="1594"/>
      <c r="AI175" s="1594"/>
      <c r="AJ175" s="1594"/>
      <c r="AK175" s="1594"/>
      <c r="AL175" s="1594"/>
      <c r="AM175" s="1594"/>
      <c r="AN175" s="1594"/>
      <c r="AO175" s="1594"/>
      <c r="AP175" s="1594"/>
      <c r="AQ175" s="1594"/>
      <c r="AR175" s="1594"/>
      <c r="AS175" s="1594"/>
      <c r="AT175" s="1594"/>
      <c r="AU175" s="1594"/>
      <c r="AV175" s="1594"/>
      <c r="AW175" s="1594"/>
      <c r="AX175" s="1594"/>
      <c r="AY175" s="1594"/>
      <c r="AZ175" s="1594"/>
      <c r="BA175" s="1594"/>
      <c r="BB175" s="1594"/>
      <c r="BC175" s="1594"/>
      <c r="BD175" s="1594"/>
      <c r="BE175" s="1594"/>
      <c r="BF175" s="1594"/>
      <c r="BG175" s="1594"/>
      <c r="BH175" s="1594"/>
      <c r="BI175" s="1594"/>
      <c r="BJ175" s="1594"/>
      <c r="BK175" s="1594"/>
      <c r="BL175" s="1594"/>
      <c r="BM175" s="1594"/>
      <c r="BN175" s="1594"/>
      <c r="BO175" s="1594"/>
      <c r="BP175" s="1594"/>
      <c r="BQ175" s="1594"/>
      <c r="BR175" s="1594"/>
      <c r="BS175" s="1594"/>
      <c r="BT175" s="1594"/>
      <c r="BU175" s="1594"/>
      <c r="BV175" s="1594"/>
      <c r="BW175" s="1594"/>
      <c r="BX175" s="1594"/>
      <c r="BY175" s="1594"/>
      <c r="BZ175" s="1594"/>
      <c r="CA175" s="1594"/>
      <c r="CB175" s="1594"/>
      <c r="CC175" s="1594"/>
      <c r="CD175" s="1594"/>
      <c r="CE175" s="1594"/>
      <c r="CF175" s="1594"/>
      <c r="CG175" s="1594"/>
      <c r="CH175" s="1594"/>
      <c r="CI175" s="1594"/>
      <c r="CJ175" s="1594"/>
      <c r="CK175" s="1594"/>
      <c r="CL175" s="1594"/>
      <c r="CM175" s="1594"/>
      <c r="CN175" s="1594"/>
      <c r="CO175" s="1594"/>
      <c r="CP175" s="1594"/>
      <c r="CQ175" s="1594"/>
      <c r="CR175" s="1594"/>
      <c r="CS175" s="1594"/>
      <c r="CT175" s="1594"/>
      <c r="CU175" s="1594"/>
      <c r="CV175" s="1594"/>
      <c r="CW175" s="1594"/>
      <c r="CX175" s="1594"/>
      <c r="CY175" s="1594"/>
      <c r="CZ175" s="1594"/>
    </row>
    <row r="176" spans="1:104">
      <c r="A176" s="1584"/>
      <c r="B176" s="141" t="s">
        <v>2135</v>
      </c>
      <c r="C176" s="142"/>
      <c r="D176" s="182"/>
      <c r="E176" s="142"/>
      <c r="F176" s="182"/>
      <c r="G176" s="1594"/>
      <c r="Q176" s="136"/>
      <c r="R176" s="135"/>
      <c r="S176" s="135"/>
      <c r="T176" s="135"/>
      <c r="U176" s="227"/>
      <c r="V176" s="499"/>
      <c r="W176" s="317"/>
      <c r="X176" s="317"/>
      <c r="Y176" s="317"/>
      <c r="Z176" s="317"/>
      <c r="AA176" s="317"/>
      <c r="AB176" s="1594"/>
      <c r="AC176" s="317"/>
      <c r="AD176" s="1594"/>
      <c r="AE176" s="1594"/>
      <c r="AF176" s="1594"/>
      <c r="AG176" s="1594"/>
      <c r="AH176" s="1594"/>
      <c r="AI176" s="1594"/>
      <c r="AJ176" s="1594"/>
      <c r="AK176" s="1594"/>
      <c r="AL176" s="1594"/>
      <c r="AM176" s="1594"/>
      <c r="AN176" s="1594"/>
      <c r="AO176" s="1594"/>
      <c r="AP176" s="1594"/>
      <c r="AQ176" s="1594"/>
      <c r="AR176" s="1594"/>
      <c r="AS176" s="1594"/>
      <c r="AT176" s="1594"/>
      <c r="AU176" s="1594"/>
      <c r="AV176" s="1594"/>
      <c r="AW176" s="1594"/>
      <c r="AX176" s="1594"/>
      <c r="AY176" s="1594"/>
      <c r="AZ176" s="1594"/>
      <c r="BA176" s="1594"/>
      <c r="BB176" s="1594"/>
      <c r="BC176" s="1594"/>
      <c r="BD176" s="1594"/>
      <c r="BE176" s="1594"/>
      <c r="BF176" s="1594"/>
      <c r="BG176" s="1594"/>
      <c r="BH176" s="1594"/>
      <c r="BI176" s="1594"/>
      <c r="BJ176" s="1594"/>
      <c r="BK176" s="1594"/>
      <c r="BL176" s="1594"/>
      <c r="BM176" s="1594"/>
      <c r="BN176" s="1594"/>
      <c r="BO176" s="1594"/>
      <c r="BP176" s="1594"/>
      <c r="BQ176" s="1594"/>
      <c r="BR176" s="1594"/>
      <c r="BS176" s="1594"/>
      <c r="BT176" s="1594"/>
      <c r="BU176" s="1594"/>
      <c r="BV176" s="1594"/>
      <c r="BW176" s="1594"/>
      <c r="BX176" s="1594"/>
      <c r="BY176" s="1594"/>
      <c r="BZ176" s="1594"/>
      <c r="CA176" s="1594"/>
      <c r="CB176" s="1594"/>
      <c r="CC176" s="1594"/>
      <c r="CD176" s="1594"/>
      <c r="CE176" s="1594"/>
      <c r="CF176" s="1594"/>
      <c r="CG176" s="1594"/>
      <c r="CH176" s="1594"/>
      <c r="CI176" s="1594"/>
      <c r="CJ176" s="1594"/>
      <c r="CK176" s="1594"/>
      <c r="CL176" s="1594"/>
      <c r="CM176" s="1594"/>
      <c r="CN176" s="1594"/>
      <c r="CO176" s="1594"/>
      <c r="CP176" s="1594"/>
      <c r="CQ176" s="1594"/>
      <c r="CR176" s="1594"/>
      <c r="CS176" s="1594"/>
      <c r="CT176" s="1594"/>
      <c r="CU176" s="1594"/>
      <c r="CV176" s="1594"/>
      <c r="CW176" s="1594"/>
      <c r="CX176" s="1594"/>
      <c r="CY176" s="1594"/>
      <c r="CZ176" s="1594"/>
    </row>
    <row r="177" spans="1:104">
      <c r="A177" s="1584"/>
      <c r="B177" s="313" t="s">
        <v>2136</v>
      </c>
      <c r="C177" s="142"/>
      <c r="D177" s="183"/>
      <c r="E177" s="142"/>
      <c r="F177" s="183"/>
      <c r="G177" s="1594"/>
      <c r="Q177" s="136"/>
      <c r="R177" s="135"/>
      <c r="S177" s="135"/>
      <c r="T177" s="135"/>
      <c r="U177" s="227"/>
      <c r="V177" s="499"/>
      <c r="W177" s="317"/>
      <c r="X177" s="317"/>
      <c r="Y177" s="317"/>
      <c r="Z177" s="317"/>
      <c r="AA177" s="317"/>
      <c r="AB177" s="1594"/>
      <c r="AC177" s="317"/>
      <c r="AD177" s="1594"/>
      <c r="AE177" s="1594"/>
      <c r="AF177" s="1594"/>
      <c r="AG177" s="1594"/>
      <c r="AH177" s="1594"/>
      <c r="AI177" s="1594"/>
      <c r="AJ177" s="1594"/>
      <c r="AK177" s="1594"/>
      <c r="AL177" s="1594"/>
      <c r="AM177" s="1594"/>
      <c r="AN177" s="1594"/>
      <c r="AO177" s="1594"/>
      <c r="AP177" s="1594"/>
      <c r="AQ177" s="1594"/>
      <c r="AR177" s="1594"/>
      <c r="AS177" s="1594"/>
      <c r="AT177" s="1594"/>
      <c r="AU177" s="1594"/>
      <c r="AV177" s="1594"/>
      <c r="AW177" s="1594"/>
      <c r="AX177" s="1594"/>
      <c r="AY177" s="1594"/>
      <c r="AZ177" s="1594"/>
      <c r="BA177" s="1594"/>
      <c r="BB177" s="1594"/>
      <c r="BC177" s="1594"/>
      <c r="BD177" s="1594"/>
      <c r="BE177" s="1594"/>
      <c r="BF177" s="1594"/>
      <c r="BG177" s="1594"/>
      <c r="BH177" s="1594"/>
      <c r="BI177" s="1594"/>
      <c r="BJ177" s="1594"/>
      <c r="BK177" s="1594"/>
      <c r="BL177" s="1594"/>
      <c r="BM177" s="1594"/>
      <c r="BN177" s="1594"/>
      <c r="BO177" s="1594"/>
      <c r="BP177" s="1594"/>
      <c r="BQ177" s="1594"/>
      <c r="BR177" s="1594"/>
      <c r="BS177" s="1594"/>
      <c r="BT177" s="1594"/>
      <c r="BU177" s="1594"/>
      <c r="BV177" s="1594"/>
      <c r="BW177" s="1594"/>
      <c r="BX177" s="1594"/>
      <c r="BY177" s="1594"/>
      <c r="BZ177" s="1594"/>
      <c r="CA177" s="1594"/>
      <c r="CB177" s="1594"/>
      <c r="CC177" s="1594"/>
      <c r="CD177" s="1594"/>
      <c r="CE177" s="1594"/>
      <c r="CF177" s="1594"/>
      <c r="CG177" s="1594"/>
      <c r="CH177" s="1594"/>
      <c r="CI177" s="1594"/>
      <c r="CJ177" s="1594"/>
      <c r="CK177" s="1594"/>
      <c r="CL177" s="1594"/>
      <c r="CM177" s="1594"/>
      <c r="CN177" s="1594"/>
      <c r="CO177" s="1594"/>
      <c r="CP177" s="1594"/>
      <c r="CQ177" s="1594"/>
      <c r="CR177" s="1594"/>
      <c r="CS177" s="1594"/>
      <c r="CT177" s="1594"/>
      <c r="CU177" s="1594"/>
      <c r="CV177" s="1594"/>
      <c r="CW177" s="1594"/>
      <c r="CX177" s="1594"/>
      <c r="CY177" s="1594"/>
      <c r="CZ177" s="1594"/>
    </row>
    <row r="178" spans="1:104">
      <c r="A178" s="1584"/>
      <c r="B178" s="313" t="s">
        <v>2137</v>
      </c>
      <c r="C178" s="142"/>
      <c r="D178" s="183"/>
      <c r="E178" s="142"/>
      <c r="F178" s="183"/>
      <c r="G178" s="1594"/>
      <c r="Q178" s="136"/>
      <c r="R178" s="135"/>
      <c r="S178" s="135"/>
      <c r="T178" s="135"/>
      <c r="U178" s="227"/>
      <c r="V178" s="499"/>
      <c r="W178" s="317"/>
      <c r="X178" s="317"/>
      <c r="Y178" s="317"/>
      <c r="Z178" s="317"/>
      <c r="AA178" s="317"/>
      <c r="AB178" s="1594"/>
      <c r="AC178" s="317"/>
      <c r="AD178" s="1594"/>
      <c r="AE178" s="1594"/>
      <c r="AF178" s="1594"/>
      <c r="AG178" s="1594"/>
      <c r="AH178" s="1594"/>
      <c r="AI178" s="1594"/>
      <c r="AJ178" s="1594"/>
      <c r="AK178" s="1594"/>
      <c r="AL178" s="1594"/>
      <c r="AM178" s="1594"/>
      <c r="AN178" s="1594"/>
      <c r="AO178" s="1594"/>
      <c r="AP178" s="1594"/>
      <c r="AQ178" s="1594"/>
      <c r="AR178" s="1594"/>
      <c r="AS178" s="1594"/>
      <c r="AT178" s="1594"/>
      <c r="AU178" s="1594"/>
      <c r="AV178" s="1594"/>
      <c r="AW178" s="1594"/>
      <c r="AX178" s="1594"/>
      <c r="AY178" s="1594"/>
      <c r="AZ178" s="1594"/>
      <c r="BA178" s="1594"/>
      <c r="BB178" s="1594"/>
      <c r="BC178" s="1594"/>
      <c r="BD178" s="1594"/>
      <c r="BE178" s="1594"/>
      <c r="BF178" s="1594"/>
      <c r="BG178" s="1594"/>
      <c r="BH178" s="1594"/>
      <c r="BI178" s="1594"/>
      <c r="BJ178" s="1594"/>
      <c r="BK178" s="1594"/>
      <c r="BL178" s="1594"/>
      <c r="BM178" s="1594"/>
      <c r="BN178" s="1594"/>
      <c r="BO178" s="1594"/>
      <c r="BP178" s="1594"/>
      <c r="BQ178" s="1594"/>
      <c r="BR178" s="1594"/>
      <c r="BS178" s="1594"/>
      <c r="BT178" s="1594"/>
      <c r="BU178" s="1594"/>
      <c r="BV178" s="1594"/>
      <c r="BW178" s="1594"/>
      <c r="BX178" s="1594"/>
      <c r="BY178" s="1594"/>
      <c r="BZ178" s="1594"/>
      <c r="CA178" s="1594"/>
      <c r="CB178" s="1594"/>
      <c r="CC178" s="1594"/>
      <c r="CD178" s="1594"/>
      <c r="CE178" s="1594"/>
      <c r="CF178" s="1594"/>
      <c r="CG178" s="1594"/>
      <c r="CH178" s="1594"/>
      <c r="CI178" s="1594"/>
      <c r="CJ178" s="1594"/>
      <c r="CK178" s="1594"/>
      <c r="CL178" s="1594"/>
      <c r="CM178" s="1594"/>
      <c r="CN178" s="1594"/>
      <c r="CO178" s="1594"/>
      <c r="CP178" s="1594"/>
      <c r="CQ178" s="1594"/>
      <c r="CR178" s="1594"/>
      <c r="CS178" s="1594"/>
      <c r="CT178" s="1594"/>
      <c r="CU178" s="1594"/>
      <c r="CV178" s="1594"/>
      <c r="CW178" s="1594"/>
      <c r="CX178" s="1594"/>
      <c r="CY178" s="1594"/>
      <c r="CZ178" s="1594"/>
    </row>
    <row r="179" spans="1:104">
      <c r="A179" s="1584"/>
      <c r="B179" s="141" t="s">
        <v>2445</v>
      </c>
      <c r="C179" s="142"/>
      <c r="D179" s="1183"/>
      <c r="E179" s="142"/>
      <c r="F179" s="1183"/>
      <c r="G179" s="1594"/>
      <c r="Q179" s="136"/>
      <c r="R179" s="135"/>
      <c r="S179" s="135"/>
      <c r="T179" s="135"/>
      <c r="U179" s="227"/>
      <c r="V179" s="499"/>
      <c r="W179" s="317"/>
      <c r="X179" s="317"/>
      <c r="Y179" s="317"/>
      <c r="Z179" s="317"/>
      <c r="AA179" s="317"/>
      <c r="AB179" s="1594"/>
      <c r="AC179" s="317"/>
      <c r="AD179" s="1594"/>
      <c r="AE179" s="1594"/>
      <c r="AF179" s="1594"/>
      <c r="AG179" s="1594"/>
      <c r="AH179" s="1594"/>
      <c r="AI179" s="1594"/>
      <c r="AJ179" s="1594"/>
      <c r="AK179" s="1594"/>
      <c r="AL179" s="1594"/>
      <c r="AM179" s="1594"/>
      <c r="AN179" s="1594"/>
      <c r="AO179" s="1594"/>
      <c r="AP179" s="1594"/>
      <c r="AQ179" s="1594"/>
      <c r="AR179" s="1594"/>
      <c r="AS179" s="1594"/>
      <c r="AT179" s="1594"/>
      <c r="AU179" s="1594"/>
      <c r="AV179" s="1594"/>
      <c r="AW179" s="1594"/>
      <c r="AX179" s="1594"/>
      <c r="AY179" s="1594"/>
      <c r="AZ179" s="1594"/>
      <c r="BA179" s="1594"/>
      <c r="BB179" s="1594"/>
      <c r="BC179" s="1594"/>
      <c r="BD179" s="1594"/>
      <c r="BE179" s="1594"/>
      <c r="BF179" s="1594"/>
      <c r="BG179" s="1594"/>
      <c r="BH179" s="1594"/>
      <c r="BI179" s="1594"/>
      <c r="BJ179" s="1594"/>
      <c r="BK179" s="1594"/>
      <c r="BL179" s="1594"/>
      <c r="BM179" s="1594"/>
      <c r="BN179" s="1594"/>
      <c r="BO179" s="1594"/>
      <c r="BP179" s="1594"/>
      <c r="BQ179" s="1594"/>
      <c r="BR179" s="1594"/>
      <c r="BS179" s="1594"/>
      <c r="BT179" s="1594"/>
      <c r="BU179" s="1594"/>
      <c r="BV179" s="1594"/>
      <c r="BW179" s="1594"/>
      <c r="BX179" s="1594"/>
      <c r="BY179" s="1594"/>
      <c r="BZ179" s="1594"/>
      <c r="CA179" s="1594"/>
      <c r="CB179" s="1594"/>
      <c r="CC179" s="1594"/>
      <c r="CD179" s="1594"/>
      <c r="CE179" s="1594"/>
      <c r="CF179" s="1594"/>
      <c r="CG179" s="1594"/>
      <c r="CH179" s="1594"/>
      <c r="CI179" s="1594"/>
      <c r="CJ179" s="1594"/>
      <c r="CK179" s="1594"/>
      <c r="CL179" s="1594"/>
      <c r="CM179" s="1594"/>
      <c r="CN179" s="1594"/>
      <c r="CO179" s="1594"/>
      <c r="CP179" s="1594"/>
      <c r="CQ179" s="1594"/>
      <c r="CR179" s="1594"/>
      <c r="CS179" s="1594"/>
      <c r="CT179" s="1594"/>
      <c r="CU179" s="1594"/>
      <c r="CV179" s="1594"/>
      <c r="CW179" s="1594"/>
      <c r="CX179" s="1594"/>
      <c r="CY179" s="1594"/>
      <c r="CZ179" s="1594"/>
    </row>
    <row r="180" spans="1:104">
      <c r="A180" s="1584"/>
      <c r="B180" s="141"/>
      <c r="C180" s="142"/>
      <c r="D180" s="136"/>
      <c r="E180" s="142"/>
      <c r="F180" s="136"/>
      <c r="G180" s="1594"/>
      <c r="Q180" s="136"/>
      <c r="R180" s="135"/>
      <c r="S180" s="135"/>
      <c r="T180" s="135"/>
      <c r="U180" s="227"/>
      <c r="V180" s="499"/>
      <c r="W180" s="317"/>
      <c r="X180" s="317"/>
      <c r="Y180" s="317"/>
      <c r="Z180" s="317"/>
      <c r="AA180" s="317"/>
      <c r="AB180" s="1594"/>
      <c r="AC180" s="317"/>
      <c r="AD180" s="1594"/>
      <c r="AE180" s="1594"/>
      <c r="AF180" s="1594"/>
      <c r="AG180" s="1594"/>
      <c r="AH180" s="1594"/>
      <c r="AI180" s="1594"/>
      <c r="AJ180" s="1594"/>
      <c r="AK180" s="1594"/>
      <c r="AL180" s="1594"/>
      <c r="AM180" s="1594"/>
      <c r="AN180" s="1594"/>
      <c r="AO180" s="1594"/>
      <c r="AP180" s="1594"/>
      <c r="AQ180" s="1594"/>
      <c r="AR180" s="1594"/>
      <c r="AS180" s="1594"/>
      <c r="AT180" s="1594"/>
      <c r="AU180" s="1594"/>
      <c r="AV180" s="1594"/>
      <c r="AW180" s="1594"/>
      <c r="AX180" s="1594"/>
      <c r="AY180" s="1594"/>
      <c r="AZ180" s="1594"/>
      <c r="BA180" s="1594"/>
      <c r="BB180" s="1594"/>
      <c r="BC180" s="1594"/>
      <c r="BD180" s="1594"/>
      <c r="BE180" s="1594"/>
      <c r="BF180" s="1594"/>
      <c r="BG180" s="1594"/>
      <c r="BH180" s="1594"/>
      <c r="BI180" s="1594"/>
      <c r="BJ180" s="1594"/>
      <c r="BK180" s="1594"/>
      <c r="BL180" s="1594"/>
      <c r="BM180" s="1594"/>
      <c r="BN180" s="1594"/>
      <c r="BO180" s="1594"/>
      <c r="BP180" s="1594"/>
      <c r="BQ180" s="1594"/>
      <c r="BR180" s="1594"/>
      <c r="BS180" s="1594"/>
      <c r="BT180" s="1594"/>
      <c r="BU180" s="1594"/>
      <c r="BV180" s="1594"/>
      <c r="BW180" s="1594"/>
      <c r="BX180" s="1594"/>
      <c r="BY180" s="1594"/>
      <c r="BZ180" s="1594"/>
      <c r="CA180" s="1594"/>
      <c r="CB180" s="1594"/>
      <c r="CC180" s="1594"/>
      <c r="CD180" s="1594"/>
      <c r="CE180" s="1594"/>
      <c r="CF180" s="1594"/>
      <c r="CG180" s="1594"/>
      <c r="CH180" s="1594"/>
      <c r="CI180" s="1594"/>
      <c r="CJ180" s="1594"/>
      <c r="CK180" s="1594"/>
      <c r="CL180" s="1594"/>
      <c r="CM180" s="1594"/>
      <c r="CN180" s="1594"/>
      <c r="CO180" s="1594"/>
      <c r="CP180" s="1594"/>
      <c r="CQ180" s="1594"/>
      <c r="CR180" s="1594"/>
      <c r="CS180" s="1594"/>
      <c r="CT180" s="1594"/>
      <c r="CU180" s="1594"/>
      <c r="CV180" s="1594"/>
      <c r="CW180" s="1594"/>
      <c r="CX180" s="1594"/>
      <c r="CY180" s="1594"/>
      <c r="CZ180" s="1594"/>
    </row>
    <row r="181" spans="1:104" ht="13.5" thickBot="1">
      <c r="A181" s="1584"/>
      <c r="B181" s="141"/>
      <c r="C181" s="142"/>
      <c r="D181" s="143">
        <f>SUM(D176:D179)</f>
        <v>0</v>
      </c>
      <c r="E181" s="142"/>
      <c r="F181" s="143">
        <f>SUM(F176:F179)</f>
        <v>0</v>
      </c>
      <c r="G181" s="1594"/>
      <c r="Q181" s="136"/>
      <c r="R181" s="135"/>
      <c r="S181" s="135"/>
      <c r="T181" s="135"/>
      <c r="U181" s="227"/>
      <c r="V181" s="499"/>
      <c r="W181" s="317"/>
      <c r="X181" s="317"/>
      <c r="Y181" s="317"/>
      <c r="Z181" s="317"/>
      <c r="AA181" s="317"/>
      <c r="AB181" s="1594"/>
      <c r="AC181" s="317"/>
      <c r="AD181" s="1594"/>
      <c r="AE181" s="1594"/>
      <c r="AF181" s="1594"/>
      <c r="AG181" s="1594"/>
      <c r="AH181" s="1594"/>
      <c r="AI181" s="1594"/>
      <c r="AJ181" s="1594"/>
      <c r="AK181" s="1594"/>
      <c r="AL181" s="1594"/>
      <c r="AM181" s="1594"/>
      <c r="AN181" s="1594"/>
      <c r="AO181" s="1594"/>
      <c r="AP181" s="1594"/>
      <c r="AQ181" s="1594"/>
      <c r="AR181" s="1594"/>
      <c r="AS181" s="1594"/>
      <c r="AT181" s="1594"/>
      <c r="AU181" s="1594"/>
      <c r="AV181" s="1594"/>
      <c r="AW181" s="1594"/>
      <c r="AX181" s="1594"/>
      <c r="AY181" s="1594"/>
      <c r="AZ181" s="1594"/>
      <c r="BA181" s="1594"/>
      <c r="BB181" s="1594"/>
      <c r="BC181" s="1594"/>
      <c r="BD181" s="1594"/>
      <c r="BE181" s="1594"/>
      <c r="BF181" s="1594"/>
      <c r="BG181" s="1594"/>
      <c r="BH181" s="1594"/>
      <c r="BI181" s="1594"/>
      <c r="BJ181" s="1594"/>
      <c r="BK181" s="1594"/>
      <c r="BL181" s="1594"/>
      <c r="BM181" s="1594"/>
      <c r="BN181" s="1594"/>
      <c r="BO181" s="1594"/>
      <c r="BP181" s="1594"/>
      <c r="BQ181" s="1594"/>
      <c r="BR181" s="1594"/>
      <c r="BS181" s="1594"/>
      <c r="BT181" s="1594"/>
      <c r="BU181" s="1594"/>
      <c r="BV181" s="1594"/>
      <c r="BW181" s="1594"/>
      <c r="BX181" s="1594"/>
      <c r="BY181" s="1594"/>
      <c r="BZ181" s="1594"/>
      <c r="CA181" s="1594"/>
      <c r="CB181" s="1594"/>
      <c r="CC181" s="1594"/>
      <c r="CD181" s="1594"/>
      <c r="CE181" s="1594"/>
      <c r="CF181" s="1594"/>
      <c r="CG181" s="1594"/>
      <c r="CH181" s="1594"/>
      <c r="CI181" s="1594"/>
      <c r="CJ181" s="1594"/>
      <c r="CK181" s="1594"/>
      <c r="CL181" s="1594"/>
      <c r="CM181" s="1594"/>
      <c r="CN181" s="1594"/>
      <c r="CO181" s="1594"/>
      <c r="CP181" s="1594"/>
      <c r="CQ181" s="1594"/>
      <c r="CR181" s="1594"/>
      <c r="CS181" s="1594"/>
      <c r="CT181" s="1594"/>
      <c r="CU181" s="1594"/>
      <c r="CV181" s="1594"/>
      <c r="CW181" s="1594"/>
      <c r="CX181" s="1594"/>
      <c r="CY181" s="1594"/>
      <c r="CZ181" s="1594"/>
    </row>
    <row r="182" spans="1:104" ht="13.5" thickTop="1">
      <c r="A182" s="1584"/>
      <c r="B182" s="141"/>
      <c r="C182" s="142"/>
      <c r="D182" s="136"/>
      <c r="E182" s="142"/>
      <c r="F182" s="136"/>
      <c r="G182" s="1594"/>
      <c r="Q182" s="136"/>
      <c r="R182" s="135"/>
      <c r="S182" s="135"/>
      <c r="T182" s="135"/>
      <c r="U182" s="227"/>
      <c r="V182" s="499"/>
      <c r="W182" s="317"/>
      <c r="X182" s="317"/>
      <c r="Y182" s="317"/>
      <c r="Z182" s="317"/>
      <c r="AA182" s="317"/>
      <c r="AB182" s="1594"/>
      <c r="AC182" s="317"/>
      <c r="AD182" s="1594"/>
      <c r="AE182" s="1594"/>
      <c r="AF182" s="1594"/>
      <c r="AG182" s="1594"/>
      <c r="AH182" s="1594"/>
      <c r="AI182" s="1594"/>
      <c r="AJ182" s="1594"/>
      <c r="AK182" s="1594"/>
      <c r="AL182" s="1594"/>
      <c r="AM182" s="1594"/>
      <c r="AN182" s="1594"/>
      <c r="AO182" s="1594"/>
      <c r="AP182" s="1594"/>
      <c r="AQ182" s="1594"/>
      <c r="AR182" s="1594"/>
      <c r="AS182" s="1594"/>
      <c r="AT182" s="1594"/>
      <c r="AU182" s="1594"/>
      <c r="AV182" s="1594"/>
      <c r="AW182" s="1594"/>
      <c r="AX182" s="1594"/>
      <c r="AY182" s="1594"/>
      <c r="AZ182" s="1594"/>
      <c r="BA182" s="1594"/>
      <c r="BB182" s="1594"/>
      <c r="BC182" s="1594"/>
      <c r="BD182" s="1594"/>
      <c r="BE182" s="1594"/>
      <c r="BF182" s="1594"/>
      <c r="BG182" s="1594"/>
      <c r="BH182" s="1594"/>
      <c r="BI182" s="1594"/>
      <c r="BJ182" s="1594"/>
      <c r="BK182" s="1594"/>
      <c r="BL182" s="1594"/>
      <c r="BM182" s="1594"/>
      <c r="BN182" s="1594"/>
      <c r="BO182" s="1594"/>
      <c r="BP182" s="1594"/>
      <c r="BQ182" s="1594"/>
      <c r="BR182" s="1594"/>
      <c r="BS182" s="1594"/>
      <c r="BT182" s="1594"/>
      <c r="BU182" s="1594"/>
      <c r="BV182" s="1594"/>
      <c r="BW182" s="1594"/>
      <c r="BX182" s="1594"/>
      <c r="BY182" s="1594"/>
      <c r="BZ182" s="1594"/>
      <c r="CA182" s="1594"/>
      <c r="CB182" s="1594"/>
      <c r="CC182" s="1594"/>
      <c r="CD182" s="1594"/>
      <c r="CE182" s="1594"/>
      <c r="CF182" s="1594"/>
      <c r="CG182" s="1594"/>
      <c r="CH182" s="1594"/>
      <c r="CI182" s="1594"/>
      <c r="CJ182" s="1594"/>
      <c r="CK182" s="1594"/>
      <c r="CL182" s="1594"/>
      <c r="CM182" s="1594"/>
      <c r="CN182" s="1594"/>
      <c r="CO182" s="1594"/>
      <c r="CP182" s="1594"/>
      <c r="CQ182" s="1594"/>
      <c r="CR182" s="1594"/>
      <c r="CS182" s="1594"/>
      <c r="CT182" s="1594"/>
      <c r="CU182" s="1594"/>
      <c r="CV182" s="1594"/>
      <c r="CW182" s="1594"/>
      <c r="CX182" s="1594"/>
      <c r="CY182" s="1594"/>
      <c r="CZ182" s="1594"/>
    </row>
    <row r="183" spans="1:104">
      <c r="A183" s="279"/>
      <c r="B183" s="314"/>
      <c r="C183" s="314"/>
      <c r="D183" s="315"/>
      <c r="E183" s="314"/>
      <c r="F183" s="315"/>
      <c r="G183" s="314"/>
      <c r="Q183" s="315"/>
      <c r="R183" s="314"/>
      <c r="S183" s="314"/>
      <c r="T183" s="314"/>
      <c r="U183" s="634"/>
      <c r="V183" s="635"/>
      <c r="W183" s="317"/>
      <c r="X183" s="317"/>
      <c r="Y183" s="317"/>
      <c r="Z183" s="317"/>
      <c r="AA183" s="317"/>
      <c r="AB183" s="1594"/>
      <c r="AC183" s="317"/>
      <c r="AD183" s="1594"/>
      <c r="AE183" s="1594"/>
      <c r="AF183" s="1594"/>
      <c r="AG183" s="1594"/>
      <c r="AH183" s="1594"/>
      <c r="AI183" s="1594"/>
      <c r="AJ183" s="1594"/>
      <c r="AK183" s="1594"/>
      <c r="AL183" s="1594"/>
      <c r="AM183" s="1594"/>
      <c r="AN183" s="1594"/>
      <c r="AO183" s="1594"/>
      <c r="AP183" s="1594"/>
      <c r="AQ183" s="1594"/>
      <c r="AR183" s="1594"/>
      <c r="AS183" s="1594"/>
      <c r="AT183" s="1594"/>
      <c r="AU183" s="1594"/>
      <c r="AV183" s="1594"/>
      <c r="AW183" s="1594"/>
      <c r="AX183" s="1594"/>
      <c r="AY183" s="1594"/>
      <c r="AZ183" s="1594"/>
      <c r="BA183" s="1594"/>
      <c r="BB183" s="1594"/>
      <c r="BC183" s="1594"/>
      <c r="BD183" s="1594"/>
      <c r="BE183" s="1594"/>
      <c r="BF183" s="1594"/>
      <c r="BG183" s="1594"/>
      <c r="BH183" s="1594"/>
      <c r="BI183" s="1594"/>
      <c r="BJ183" s="1594"/>
      <c r="BK183" s="1594"/>
      <c r="BL183" s="1594"/>
      <c r="BM183" s="1594"/>
      <c r="BN183" s="1594"/>
      <c r="BO183" s="1594"/>
      <c r="BP183" s="1594"/>
      <c r="BQ183" s="1594"/>
      <c r="BR183" s="1594"/>
      <c r="BS183" s="1594"/>
      <c r="BT183" s="1594"/>
      <c r="BU183" s="1594"/>
      <c r="BV183" s="1594"/>
      <c r="BW183" s="1594"/>
      <c r="BX183" s="1594"/>
      <c r="BY183" s="1594"/>
      <c r="BZ183" s="1594"/>
      <c r="CA183" s="1594"/>
      <c r="CB183" s="1594"/>
      <c r="CC183" s="1594"/>
      <c r="CD183" s="1594"/>
      <c r="CE183" s="1594"/>
      <c r="CF183" s="1594"/>
      <c r="CG183" s="1594"/>
      <c r="CH183" s="1594"/>
      <c r="CI183" s="1594"/>
      <c r="CJ183" s="1594"/>
      <c r="CK183" s="1594"/>
      <c r="CL183" s="1594"/>
      <c r="CM183" s="1594"/>
      <c r="CN183" s="1594"/>
      <c r="CO183" s="1594"/>
      <c r="CP183" s="1594"/>
      <c r="CQ183" s="1594"/>
      <c r="CR183" s="1594"/>
      <c r="CS183" s="1594"/>
      <c r="CT183" s="1594"/>
      <c r="CU183" s="1594"/>
      <c r="CV183" s="1594"/>
      <c r="CW183" s="1594"/>
      <c r="CX183" s="1594"/>
      <c r="CY183" s="1594"/>
      <c r="CZ183" s="1594"/>
    </row>
    <row r="184" spans="1:104">
      <c r="A184" s="280"/>
      <c r="B184" s="321"/>
      <c r="C184" s="321"/>
      <c r="D184" s="322"/>
      <c r="E184" s="321"/>
      <c r="F184" s="322"/>
      <c r="G184" s="321"/>
      <c r="Q184" s="322"/>
      <c r="R184" s="321"/>
      <c r="S184" s="321"/>
      <c r="T184" s="321"/>
      <c r="U184" s="622"/>
      <c r="V184" s="623"/>
      <c r="W184" s="317"/>
      <c r="X184" s="317"/>
      <c r="Y184" s="317"/>
      <c r="Z184" s="317"/>
      <c r="AA184" s="317"/>
      <c r="AB184" s="1594"/>
      <c r="AC184" s="317"/>
      <c r="AD184" s="1594"/>
      <c r="AE184" s="1594"/>
      <c r="AF184" s="1594"/>
      <c r="AG184" s="1594"/>
      <c r="AH184" s="1594"/>
      <c r="AI184" s="1594"/>
      <c r="AJ184" s="1594"/>
      <c r="AK184" s="1594"/>
      <c r="AL184" s="1594"/>
      <c r="AM184" s="1594"/>
      <c r="AN184" s="1594"/>
      <c r="AO184" s="1594"/>
      <c r="AP184" s="1594"/>
      <c r="AQ184" s="1594"/>
      <c r="AR184" s="1594"/>
      <c r="AS184" s="1594"/>
      <c r="AT184" s="1594"/>
      <c r="AU184" s="1594"/>
      <c r="AV184" s="1594"/>
      <c r="AW184" s="1594"/>
      <c r="AX184" s="1594"/>
      <c r="AY184" s="1594"/>
      <c r="AZ184" s="1594"/>
      <c r="BA184" s="1594"/>
      <c r="BB184" s="1594"/>
      <c r="BC184" s="1594"/>
      <c r="BD184" s="1594"/>
      <c r="BE184" s="1594"/>
      <c r="BF184" s="1594"/>
      <c r="BG184" s="1594"/>
      <c r="BH184" s="1594"/>
      <c r="BI184" s="1594"/>
      <c r="BJ184" s="1594"/>
      <c r="BK184" s="1594"/>
      <c r="BL184" s="1594"/>
      <c r="BM184" s="1594"/>
      <c r="BN184" s="1594"/>
      <c r="BO184" s="1594"/>
      <c r="BP184" s="1594"/>
      <c r="BQ184" s="1594"/>
      <c r="BR184" s="1594"/>
      <c r="BS184" s="1594"/>
      <c r="BT184" s="1594"/>
      <c r="BU184" s="1594"/>
      <c r="BV184" s="1594"/>
      <c r="BW184" s="1594"/>
      <c r="BX184" s="1594"/>
      <c r="BY184" s="1594"/>
      <c r="BZ184" s="1594"/>
      <c r="CA184" s="1594"/>
      <c r="CB184" s="1594"/>
      <c r="CC184" s="1594"/>
      <c r="CD184" s="1594"/>
      <c r="CE184" s="1594"/>
      <c r="CF184" s="1594"/>
      <c r="CG184" s="1594"/>
      <c r="CH184" s="1594"/>
      <c r="CI184" s="1594"/>
      <c r="CJ184" s="1594"/>
      <c r="CK184" s="1594"/>
      <c r="CL184" s="1594"/>
      <c r="CM184" s="1594"/>
      <c r="CN184" s="1594"/>
      <c r="CO184" s="1594"/>
      <c r="CP184" s="1594"/>
      <c r="CQ184" s="1594"/>
      <c r="CR184" s="1594"/>
      <c r="CS184" s="1594"/>
      <c r="CT184" s="1594"/>
      <c r="CU184" s="1594"/>
      <c r="CV184" s="1594"/>
      <c r="CW184" s="1594"/>
      <c r="CX184" s="1594"/>
      <c r="CY184" s="1594"/>
      <c r="CZ184" s="1594"/>
    </row>
    <row r="185" spans="1:104">
      <c r="A185" s="1589">
        <v>23</v>
      </c>
      <c r="B185" s="141" t="s">
        <v>2123</v>
      </c>
      <c r="C185" s="142"/>
      <c r="D185" s="140" t="s">
        <v>2077</v>
      </c>
      <c r="E185" s="1585"/>
      <c r="F185" s="140" t="s">
        <v>1796</v>
      </c>
      <c r="G185" s="1594"/>
      <c r="Q185" s="346"/>
      <c r="R185" s="335"/>
      <c r="S185" s="335"/>
      <c r="T185" s="335"/>
      <c r="U185" s="649"/>
      <c r="V185" s="499"/>
      <c r="W185" s="317"/>
      <c r="X185" s="317"/>
      <c r="Y185" s="317"/>
      <c r="Z185" s="317"/>
      <c r="AA185" s="317"/>
      <c r="AB185" s="1594"/>
      <c r="AC185" s="317"/>
      <c r="AD185" s="1594"/>
      <c r="AE185" s="1594"/>
      <c r="AF185" s="1594"/>
      <c r="AG185" s="1594"/>
      <c r="AH185" s="1594"/>
      <c r="AI185" s="1594"/>
      <c r="AJ185" s="1594"/>
      <c r="AK185" s="1594"/>
      <c r="AL185" s="1594"/>
      <c r="AM185" s="1594"/>
      <c r="AN185" s="1594"/>
      <c r="AO185" s="1594"/>
      <c r="AP185" s="1594"/>
      <c r="AQ185" s="1594"/>
      <c r="AR185" s="1594"/>
      <c r="AS185" s="1594"/>
      <c r="AT185" s="1594"/>
      <c r="AU185" s="1594"/>
      <c r="AV185" s="1594"/>
      <c r="AW185" s="1594"/>
      <c r="AX185" s="1594"/>
      <c r="AY185" s="1594"/>
      <c r="AZ185" s="1594"/>
      <c r="BA185" s="1594"/>
      <c r="BB185" s="1594"/>
      <c r="BC185" s="1594"/>
      <c r="BD185" s="1594"/>
      <c r="BE185" s="1594"/>
      <c r="BF185" s="1594"/>
      <c r="BG185" s="1594"/>
      <c r="BH185" s="1594"/>
      <c r="BI185" s="1594"/>
      <c r="BJ185" s="1594"/>
      <c r="BK185" s="1594"/>
      <c r="BL185" s="1594"/>
      <c r="BM185" s="1594"/>
      <c r="BN185" s="1594"/>
      <c r="BO185" s="1594"/>
      <c r="BP185" s="1594"/>
      <c r="BQ185" s="1594"/>
      <c r="BR185" s="1594"/>
      <c r="BS185" s="1594"/>
      <c r="BT185" s="1594"/>
      <c r="BU185" s="1594"/>
      <c r="BV185" s="1594"/>
      <c r="BW185" s="1594"/>
      <c r="BX185" s="1594"/>
      <c r="BY185" s="1594"/>
      <c r="BZ185" s="1594"/>
      <c r="CA185" s="1594"/>
      <c r="CB185" s="1594"/>
      <c r="CC185" s="1594"/>
      <c r="CD185" s="1594"/>
      <c r="CE185" s="1594"/>
      <c r="CF185" s="1594"/>
      <c r="CG185" s="1594"/>
      <c r="CH185" s="1594"/>
      <c r="CI185" s="1594"/>
      <c r="CJ185" s="1594"/>
      <c r="CK185" s="1594"/>
      <c r="CL185" s="1594"/>
      <c r="CM185" s="1594"/>
      <c r="CN185" s="1594"/>
      <c r="CO185" s="1594"/>
      <c r="CP185" s="1594"/>
      <c r="CQ185" s="1594"/>
      <c r="CR185" s="1594"/>
      <c r="CS185" s="1594"/>
      <c r="CT185" s="1594"/>
      <c r="CU185" s="1594"/>
      <c r="CV185" s="1594"/>
      <c r="CW185" s="1594"/>
      <c r="CX185" s="1594"/>
      <c r="CY185" s="1594"/>
      <c r="CZ185" s="1594"/>
    </row>
    <row r="186" spans="1:104">
      <c r="A186" s="1584"/>
      <c r="B186" s="142"/>
      <c r="C186" s="142"/>
      <c r="D186" s="144"/>
      <c r="E186" s="142"/>
      <c r="F186" s="1191"/>
      <c r="G186" s="1594"/>
      <c r="Q186" s="1191" t="e">
        <f>SUM(Q190:Q191)</f>
        <v>#REF!</v>
      </c>
      <c r="R186" s="335"/>
      <c r="S186" s="335"/>
      <c r="T186" s="335"/>
      <c r="U186" s="226" t="e">
        <f>SUM(U190:U191)</f>
        <v>#REF!</v>
      </c>
      <c r="V186" s="499"/>
      <c r="W186" s="317"/>
      <c r="X186" s="317"/>
      <c r="Y186" s="317"/>
      <c r="Z186" s="317"/>
      <c r="AA186" s="317"/>
      <c r="AB186" s="1594"/>
      <c r="AC186" s="317"/>
      <c r="AD186" s="1594"/>
      <c r="AE186" s="1594"/>
      <c r="AF186" s="1594"/>
      <c r="AG186" s="1594"/>
      <c r="AH186" s="1594"/>
      <c r="AI186" s="1594"/>
      <c r="AJ186" s="1594"/>
      <c r="AK186" s="1594"/>
      <c r="AL186" s="1594"/>
      <c r="AM186" s="1594"/>
      <c r="AN186" s="1594"/>
      <c r="AO186" s="1594"/>
      <c r="AP186" s="1594"/>
      <c r="AQ186" s="1594"/>
      <c r="AR186" s="1594"/>
      <c r="AS186" s="1594"/>
      <c r="AT186" s="1594"/>
      <c r="AU186" s="1594"/>
      <c r="AV186" s="1594"/>
      <c r="AW186" s="1594"/>
      <c r="AX186" s="1594"/>
      <c r="AY186" s="1594"/>
      <c r="AZ186" s="1594"/>
      <c r="BA186" s="1594"/>
      <c r="BB186" s="1594"/>
      <c r="BC186" s="1594"/>
      <c r="BD186" s="1594"/>
      <c r="BE186" s="1594"/>
      <c r="BF186" s="1594"/>
      <c r="BG186" s="1594"/>
      <c r="BH186" s="1594"/>
      <c r="BI186" s="1594"/>
      <c r="BJ186" s="1594"/>
      <c r="BK186" s="1594"/>
      <c r="BL186" s="1594"/>
      <c r="BM186" s="1594"/>
      <c r="BN186" s="1594"/>
      <c r="BO186" s="1594"/>
      <c r="BP186" s="1594"/>
      <c r="BQ186" s="1594"/>
      <c r="BR186" s="1594"/>
      <c r="BS186" s="1594"/>
      <c r="BT186" s="1594"/>
      <c r="BU186" s="1594"/>
      <c r="BV186" s="1594"/>
      <c r="BW186" s="1594"/>
      <c r="BX186" s="1594"/>
      <c r="BY186" s="1594"/>
      <c r="BZ186" s="1594"/>
      <c r="CA186" s="1594"/>
      <c r="CB186" s="1594"/>
      <c r="CC186" s="1594"/>
      <c r="CD186" s="1594"/>
      <c r="CE186" s="1594"/>
      <c r="CF186" s="1594"/>
      <c r="CG186" s="1594"/>
      <c r="CH186" s="1594"/>
      <c r="CI186" s="1594"/>
      <c r="CJ186" s="1594"/>
      <c r="CK186" s="1594"/>
      <c r="CL186" s="1594"/>
      <c r="CM186" s="1594"/>
      <c r="CN186" s="1594"/>
      <c r="CO186" s="1594"/>
      <c r="CP186" s="1594"/>
      <c r="CQ186" s="1594"/>
      <c r="CR186" s="1594"/>
      <c r="CS186" s="1594"/>
      <c r="CT186" s="1594"/>
      <c r="CU186" s="1594"/>
      <c r="CV186" s="1594"/>
      <c r="CW186" s="1594"/>
      <c r="CX186" s="1594"/>
      <c r="CY186" s="1594"/>
      <c r="CZ186" s="1594"/>
    </row>
    <row r="187" spans="1:104">
      <c r="A187" s="1584"/>
      <c r="B187" s="142"/>
      <c r="C187" s="142"/>
      <c r="D187" s="144"/>
      <c r="E187" s="142"/>
      <c r="F187" s="1191"/>
      <c r="G187" s="1594"/>
      <c r="Q187" s="1191"/>
      <c r="R187" s="335"/>
      <c r="S187" s="335"/>
      <c r="T187" s="335"/>
      <c r="U187" s="226"/>
      <c r="V187" s="499"/>
      <c r="W187" s="317"/>
      <c r="X187" s="317"/>
      <c r="Y187" s="317"/>
      <c r="Z187" s="317"/>
      <c r="AA187" s="317"/>
      <c r="AB187" s="1594"/>
      <c r="AC187" s="317"/>
      <c r="AD187" s="1594"/>
      <c r="AE187" s="1594"/>
      <c r="AF187" s="1594"/>
      <c r="AG187" s="1594"/>
      <c r="AH187" s="1594"/>
      <c r="AI187" s="1594"/>
      <c r="AJ187" s="1594"/>
      <c r="AK187" s="1594"/>
      <c r="AL187" s="1594"/>
      <c r="AM187" s="1594"/>
      <c r="AN187" s="1594"/>
      <c r="AO187" s="1594"/>
      <c r="AP187" s="1594"/>
      <c r="AQ187" s="1594"/>
      <c r="AR187" s="1594"/>
      <c r="AS187" s="1594"/>
      <c r="AT187" s="1594"/>
      <c r="AU187" s="1594"/>
      <c r="AV187" s="1594"/>
      <c r="AW187" s="1594"/>
      <c r="AX187" s="1594"/>
      <c r="AY187" s="1594"/>
      <c r="AZ187" s="1594"/>
      <c r="BA187" s="1594"/>
      <c r="BB187" s="1594"/>
      <c r="BC187" s="1594"/>
      <c r="BD187" s="1594"/>
      <c r="BE187" s="1594"/>
      <c r="BF187" s="1594"/>
      <c r="BG187" s="1594"/>
      <c r="BH187" s="1594"/>
      <c r="BI187" s="1594"/>
      <c r="BJ187" s="1594"/>
      <c r="BK187" s="1594"/>
      <c r="BL187" s="1594"/>
      <c r="BM187" s="1594"/>
      <c r="BN187" s="1594"/>
      <c r="BO187" s="1594"/>
      <c r="BP187" s="1594"/>
      <c r="BQ187" s="1594"/>
      <c r="BR187" s="1594"/>
      <c r="BS187" s="1594"/>
      <c r="BT187" s="1594"/>
      <c r="BU187" s="1594"/>
      <c r="BV187" s="1594"/>
      <c r="BW187" s="1594"/>
      <c r="BX187" s="1594"/>
      <c r="BY187" s="1594"/>
      <c r="BZ187" s="1594"/>
      <c r="CA187" s="1594"/>
      <c r="CB187" s="1594"/>
      <c r="CC187" s="1594"/>
      <c r="CD187" s="1594"/>
      <c r="CE187" s="1594"/>
      <c r="CF187" s="1594"/>
      <c r="CG187" s="1594"/>
      <c r="CH187" s="1594"/>
      <c r="CI187" s="1594"/>
      <c r="CJ187" s="1594"/>
      <c r="CK187" s="1594"/>
      <c r="CL187" s="1594"/>
      <c r="CM187" s="1594"/>
      <c r="CN187" s="1594"/>
      <c r="CO187" s="1594"/>
      <c r="CP187" s="1594"/>
      <c r="CQ187" s="1594"/>
      <c r="CR187" s="1594"/>
      <c r="CS187" s="1594"/>
      <c r="CT187" s="1594"/>
      <c r="CU187" s="1594"/>
      <c r="CV187" s="1594"/>
      <c r="CW187" s="1594"/>
      <c r="CX187" s="1594"/>
      <c r="CY187" s="1594"/>
      <c r="CZ187" s="1594"/>
    </row>
    <row r="188" spans="1:104" ht="13.5" thickBot="1">
      <c r="A188" s="1584"/>
      <c r="B188" s="141" t="s">
        <v>2125</v>
      </c>
      <c r="C188" s="142"/>
      <c r="D188" s="1033">
        <f>SUM(D190:D192)</f>
        <v>169601.97999999998</v>
      </c>
      <c r="E188" s="142"/>
      <c r="F188" s="1182">
        <f>SUM(F190:F191)</f>
        <v>67228</v>
      </c>
      <c r="G188" s="1594"/>
      <c r="Q188" s="1191"/>
      <c r="R188" s="335"/>
      <c r="S188" s="335"/>
      <c r="T188" s="335"/>
      <c r="U188" s="226"/>
      <c r="V188" s="499"/>
      <c r="W188" s="317"/>
      <c r="X188" s="317"/>
      <c r="Y188" s="317"/>
      <c r="Z188" s="317"/>
      <c r="AA188" s="317"/>
      <c r="AB188" s="1594"/>
      <c r="AC188" s="317"/>
      <c r="AD188" s="1594"/>
      <c r="AE188" s="1594"/>
      <c r="AF188" s="1594"/>
      <c r="AG188" s="1594"/>
      <c r="AH188" s="1594"/>
      <c r="AI188" s="1594"/>
      <c r="AJ188" s="1594"/>
      <c r="AK188" s="1594"/>
      <c r="AL188" s="1594"/>
      <c r="AM188" s="1594"/>
      <c r="AN188" s="1594"/>
      <c r="AO188" s="1594"/>
      <c r="AP188" s="1594"/>
      <c r="AQ188" s="1594"/>
      <c r="AR188" s="1594"/>
      <c r="AS188" s="1594"/>
      <c r="AT188" s="1594"/>
      <c r="AU188" s="1594"/>
      <c r="AV188" s="1594"/>
      <c r="AW188" s="1594"/>
      <c r="AX188" s="1594"/>
      <c r="AY188" s="1594"/>
      <c r="AZ188" s="1594"/>
      <c r="BA188" s="1594"/>
      <c r="BB188" s="1594"/>
      <c r="BC188" s="1594"/>
      <c r="BD188" s="1594"/>
      <c r="BE188" s="1594"/>
      <c r="BF188" s="1594"/>
      <c r="BG188" s="1594"/>
      <c r="BH188" s="1594"/>
      <c r="BI188" s="1594"/>
      <c r="BJ188" s="1594"/>
      <c r="BK188" s="1594"/>
      <c r="BL188" s="1594"/>
      <c r="BM188" s="1594"/>
      <c r="BN188" s="1594"/>
      <c r="BO188" s="1594"/>
      <c r="BP188" s="1594"/>
      <c r="BQ188" s="1594"/>
      <c r="BR188" s="1594"/>
      <c r="BS188" s="1594"/>
      <c r="BT188" s="1594"/>
      <c r="BU188" s="1594"/>
      <c r="BV188" s="1594"/>
      <c r="BW188" s="1594"/>
      <c r="BX188" s="1594"/>
      <c r="BY188" s="1594"/>
      <c r="BZ188" s="1594"/>
      <c r="CA188" s="1594"/>
      <c r="CB188" s="1594"/>
      <c r="CC188" s="1594"/>
      <c r="CD188" s="1594"/>
      <c r="CE188" s="1594"/>
      <c r="CF188" s="1594"/>
      <c r="CG188" s="1594"/>
      <c r="CH188" s="1594"/>
      <c r="CI188" s="1594"/>
      <c r="CJ188" s="1594"/>
      <c r="CK188" s="1594"/>
      <c r="CL188" s="1594"/>
      <c r="CM188" s="1594"/>
      <c r="CN188" s="1594"/>
      <c r="CO188" s="1594"/>
      <c r="CP188" s="1594"/>
      <c r="CQ188" s="1594"/>
      <c r="CR188" s="1594"/>
      <c r="CS188" s="1594"/>
      <c r="CT188" s="1594"/>
      <c r="CU188" s="1594"/>
      <c r="CV188" s="1594"/>
      <c r="CW188" s="1594"/>
      <c r="CX188" s="1594"/>
      <c r="CY188" s="1594"/>
      <c r="CZ188" s="1594"/>
    </row>
    <row r="189" spans="1:104" ht="13.5" thickTop="1">
      <c r="A189" s="1584"/>
      <c r="B189" s="142"/>
      <c r="C189" s="142"/>
      <c r="D189" s="187"/>
      <c r="E189" s="142"/>
      <c r="F189" s="1191"/>
      <c r="G189" s="1594"/>
      <c r="Q189" s="1191"/>
      <c r="R189" s="335"/>
      <c r="S189" s="335"/>
      <c r="T189" s="335"/>
      <c r="U189" s="226"/>
      <c r="V189" s="499"/>
      <c r="W189" s="317"/>
      <c r="X189" s="317"/>
      <c r="Y189" s="317"/>
      <c r="Z189" s="317"/>
      <c r="AA189" s="317"/>
      <c r="AB189" s="1594"/>
      <c r="AC189" s="317"/>
      <c r="AD189" s="1594"/>
      <c r="AE189" s="1594"/>
      <c r="AF189" s="1594"/>
      <c r="AG189" s="1594"/>
      <c r="AH189" s="1594"/>
      <c r="AI189" s="1594"/>
      <c r="AJ189" s="1594"/>
      <c r="AK189" s="1594"/>
      <c r="AL189" s="1594"/>
      <c r="AM189" s="1594"/>
      <c r="AN189" s="1594"/>
      <c r="AO189" s="1594"/>
      <c r="AP189" s="1594"/>
      <c r="AQ189" s="1594"/>
      <c r="AR189" s="1594"/>
      <c r="AS189" s="1594"/>
      <c r="AT189" s="1594"/>
      <c r="AU189" s="1594"/>
      <c r="AV189" s="1594"/>
      <c r="AW189" s="1594"/>
      <c r="AX189" s="1594"/>
      <c r="AY189" s="1594"/>
      <c r="AZ189" s="1594"/>
      <c r="BA189" s="1594"/>
      <c r="BB189" s="1594"/>
      <c r="BC189" s="1594"/>
      <c r="BD189" s="1594"/>
      <c r="BE189" s="1594"/>
      <c r="BF189" s="1594"/>
      <c r="BG189" s="1594"/>
      <c r="BH189" s="1594"/>
      <c r="BI189" s="1594"/>
      <c r="BJ189" s="1594"/>
      <c r="BK189" s="1594"/>
      <c r="BL189" s="1594"/>
      <c r="BM189" s="1594"/>
      <c r="BN189" s="1594"/>
      <c r="BO189" s="1594"/>
      <c r="BP189" s="1594"/>
      <c r="BQ189" s="1594"/>
      <c r="BR189" s="1594"/>
      <c r="BS189" s="1594"/>
      <c r="BT189" s="1594"/>
      <c r="BU189" s="1594"/>
      <c r="BV189" s="1594"/>
      <c r="BW189" s="1594"/>
      <c r="BX189" s="1594"/>
      <c r="BY189" s="1594"/>
      <c r="BZ189" s="1594"/>
      <c r="CA189" s="1594"/>
      <c r="CB189" s="1594"/>
      <c r="CC189" s="1594"/>
      <c r="CD189" s="1594"/>
      <c r="CE189" s="1594"/>
      <c r="CF189" s="1594"/>
      <c r="CG189" s="1594"/>
      <c r="CH189" s="1594"/>
      <c r="CI189" s="1594"/>
      <c r="CJ189" s="1594"/>
      <c r="CK189" s="1594"/>
      <c r="CL189" s="1594"/>
      <c r="CM189" s="1594"/>
      <c r="CN189" s="1594"/>
      <c r="CO189" s="1594"/>
      <c r="CP189" s="1594"/>
      <c r="CQ189" s="1594"/>
      <c r="CR189" s="1594"/>
      <c r="CS189" s="1594"/>
      <c r="CT189" s="1594"/>
      <c r="CU189" s="1594"/>
      <c r="CV189" s="1594"/>
      <c r="CW189" s="1594"/>
      <c r="CX189" s="1594"/>
      <c r="CY189" s="1594"/>
      <c r="CZ189" s="1594"/>
    </row>
    <row r="190" spans="1:104">
      <c r="A190" s="1584"/>
      <c r="B190" s="313" t="s">
        <v>2124</v>
      </c>
      <c r="C190" s="1595"/>
      <c r="D190" s="1031">
        <v>50086.559999999998</v>
      </c>
      <c r="E190" s="1595"/>
      <c r="F190" s="262">
        <v>51072.72</v>
      </c>
      <c r="G190" s="135"/>
      <c r="H190" s="185"/>
      <c r="I190" s="135"/>
      <c r="J190" s="135"/>
      <c r="K190" s="135"/>
      <c r="L190" s="135"/>
      <c r="M190" s="135"/>
      <c r="N190" s="135"/>
      <c r="O190" s="135"/>
      <c r="P190" s="135"/>
      <c r="Q190" s="624">
        <v>0</v>
      </c>
      <c r="R190" s="1594"/>
      <c r="S190" s="1594"/>
      <c r="T190" s="1594"/>
      <c r="U190" s="625">
        <v>0</v>
      </c>
      <c r="V190" s="223"/>
      <c r="W190" s="317"/>
      <c r="X190" s="317"/>
      <c r="Y190" s="317"/>
      <c r="Z190" s="317"/>
      <c r="AA190" s="317"/>
      <c r="AB190" s="1594"/>
      <c r="AC190" s="317"/>
      <c r="AD190" s="1594"/>
      <c r="AE190" s="1594"/>
      <c r="AF190" s="1594"/>
      <c r="AG190" s="1594"/>
      <c r="AH190" s="1594"/>
      <c r="AI190" s="1594"/>
      <c r="AJ190" s="1594"/>
      <c r="AK190" s="1594"/>
      <c r="AL190" s="1594"/>
      <c r="AM190" s="1594"/>
      <c r="AN190" s="1594"/>
      <c r="AO190" s="1594"/>
      <c r="AP190" s="1594"/>
      <c r="AQ190" s="1594"/>
      <c r="AR190" s="1594"/>
      <c r="AS190" s="1594"/>
      <c r="AT190" s="1594"/>
      <c r="AU190" s="1594"/>
      <c r="AV190" s="1594"/>
      <c r="AW190" s="1594"/>
      <c r="AX190" s="1594"/>
      <c r="AY190" s="1594"/>
      <c r="AZ190" s="1594"/>
      <c r="BA190" s="1594"/>
      <c r="BB190" s="1594"/>
      <c r="BC190" s="1594"/>
      <c r="BD190" s="1594"/>
      <c r="BE190" s="1594"/>
      <c r="BF190" s="1594"/>
      <c r="BG190" s="1594"/>
      <c r="BH190" s="1594"/>
      <c r="BI190" s="1594"/>
      <c r="BJ190" s="1594"/>
      <c r="BK190" s="1594"/>
      <c r="BL190" s="1594"/>
      <c r="BM190" s="1594"/>
      <c r="BN190" s="1594"/>
      <c r="BO190" s="1594"/>
      <c r="BP190" s="1594"/>
      <c r="BQ190" s="1594"/>
      <c r="BR190" s="1594"/>
      <c r="BS190" s="1594"/>
      <c r="BT190" s="1594"/>
      <c r="BU190" s="1594"/>
      <c r="BV190" s="1594"/>
      <c r="BW190" s="1594"/>
      <c r="BX190" s="1594"/>
      <c r="BY190" s="1594"/>
      <c r="BZ190" s="1594"/>
      <c r="CA190" s="1594"/>
      <c r="CB190" s="1594"/>
      <c r="CC190" s="1594"/>
      <c r="CD190" s="1594"/>
      <c r="CE190" s="1594"/>
      <c r="CF190" s="1594"/>
      <c r="CG190" s="1594"/>
      <c r="CH190" s="1594"/>
      <c r="CI190" s="1594"/>
      <c r="CJ190" s="1594"/>
      <c r="CK190" s="1594"/>
      <c r="CL190" s="1594"/>
      <c r="CM190" s="1594"/>
      <c r="CN190" s="1594"/>
      <c r="CO190" s="1594"/>
      <c r="CP190" s="1594"/>
      <c r="CQ190" s="1594"/>
      <c r="CR190" s="1594"/>
      <c r="CS190" s="1594"/>
      <c r="CT190" s="1594"/>
      <c r="CU190" s="1594"/>
      <c r="CV190" s="1594"/>
      <c r="CW190" s="1594"/>
      <c r="CX190" s="1594"/>
      <c r="CY190" s="1594"/>
      <c r="CZ190" s="1594"/>
    </row>
    <row r="191" spans="1:104">
      <c r="A191" s="1584"/>
      <c r="B191" s="1595" t="s">
        <v>2839</v>
      </c>
      <c r="C191" s="1595"/>
      <c r="D191" s="1032">
        <v>119515.42</v>
      </c>
      <c r="E191" s="1595"/>
      <c r="F191" s="213">
        <v>16155.28</v>
      </c>
      <c r="G191" s="1594"/>
      <c r="Q191" s="563" t="e">
        <f>-SUM('TRAIL BALANCE'!#REF!)</f>
        <v>#REF!</v>
      </c>
      <c r="R191" s="1594"/>
      <c r="S191" s="1594"/>
      <c r="T191" s="1594"/>
      <c r="U191" s="648" t="e">
        <f>-SUM('TRAIL BALANCE'!#REF!)</f>
        <v>#REF!</v>
      </c>
      <c r="V191" s="499"/>
      <c r="W191" s="316" t="s">
        <v>36</v>
      </c>
      <c r="X191" s="317"/>
      <c r="Y191" s="317"/>
      <c r="Z191" s="317" t="s">
        <v>36</v>
      </c>
      <c r="AA191" s="317"/>
      <c r="AB191" s="1594"/>
      <c r="AC191" s="317"/>
      <c r="AD191" s="1594"/>
      <c r="AE191" s="1594"/>
      <c r="AF191" s="1594"/>
      <c r="AG191" s="1594"/>
      <c r="AH191" s="1594"/>
      <c r="AI191" s="1594"/>
      <c r="AJ191" s="1594"/>
      <c r="AK191" s="1594"/>
      <c r="AL191" s="1594"/>
      <c r="AM191" s="1594"/>
      <c r="AN191" s="1594"/>
      <c r="AO191" s="1594"/>
      <c r="AP191" s="1594"/>
      <c r="AQ191" s="1594"/>
      <c r="AR191" s="1594"/>
      <c r="AS191" s="1594"/>
      <c r="AT191" s="1594"/>
      <c r="AU191" s="1594"/>
      <c r="AV191" s="1594"/>
      <c r="AW191" s="1594"/>
      <c r="AX191" s="1594"/>
      <c r="AY191" s="1594"/>
      <c r="AZ191" s="1594"/>
      <c r="BA191" s="1594"/>
      <c r="BB191" s="1594"/>
      <c r="BC191" s="1594"/>
      <c r="BD191" s="1594"/>
      <c r="BE191" s="1594"/>
      <c r="BF191" s="1594"/>
      <c r="BG191" s="1594"/>
      <c r="BH191" s="1594"/>
      <c r="BI191" s="1594"/>
      <c r="BJ191" s="1594"/>
      <c r="BK191" s="1594"/>
      <c r="BL191" s="1594"/>
      <c r="BM191" s="1594"/>
      <c r="BN191" s="1594"/>
      <c r="BO191" s="1594"/>
      <c r="BP191" s="1594"/>
      <c r="BQ191" s="1594"/>
      <c r="BR191" s="1594"/>
      <c r="BS191" s="1594"/>
      <c r="BT191" s="1594"/>
      <c r="BU191" s="1594"/>
      <c r="BV191" s="1594"/>
      <c r="BW191" s="1594"/>
      <c r="BX191" s="1594"/>
      <c r="BY191" s="1594"/>
      <c r="BZ191" s="1594"/>
      <c r="CA191" s="1594"/>
      <c r="CB191" s="1594"/>
      <c r="CC191" s="1594"/>
      <c r="CD191" s="1594"/>
      <c r="CE191" s="1594"/>
      <c r="CF191" s="1594"/>
      <c r="CG191" s="1594"/>
      <c r="CH191" s="1594"/>
      <c r="CI191" s="1594"/>
      <c r="CJ191" s="1594"/>
      <c r="CK191" s="1594"/>
      <c r="CL191" s="1594"/>
      <c r="CM191" s="1594"/>
      <c r="CN191" s="1594"/>
      <c r="CO191" s="1594"/>
      <c r="CP191" s="1594"/>
      <c r="CQ191" s="1594"/>
      <c r="CR191" s="1594"/>
      <c r="CS191" s="1594"/>
      <c r="CT191" s="1594"/>
      <c r="CU191" s="1594"/>
      <c r="CV191" s="1594"/>
      <c r="CW191" s="1594"/>
      <c r="CX191" s="1594"/>
      <c r="CY191" s="1594"/>
      <c r="CZ191" s="1594"/>
    </row>
    <row r="192" spans="1:104">
      <c r="A192" s="1585"/>
      <c r="B192" s="1594" t="s">
        <v>364</v>
      </c>
      <c r="C192" s="1591"/>
      <c r="D192" s="1184">
        <v>0</v>
      </c>
      <c r="E192" s="1591"/>
      <c r="F192" s="1184"/>
      <c r="G192" s="1594"/>
      <c r="Q192" s="315"/>
      <c r="R192" s="314"/>
      <c r="S192" s="314"/>
      <c r="T192" s="314"/>
      <c r="U192" s="634"/>
      <c r="V192" s="635"/>
      <c r="W192" s="317"/>
      <c r="X192" s="317"/>
      <c r="Y192" s="317"/>
      <c r="Z192" s="317"/>
      <c r="AA192" s="317"/>
      <c r="AB192" s="1594"/>
      <c r="AC192" s="317"/>
      <c r="AD192" s="1594"/>
      <c r="AE192" s="1594"/>
      <c r="AF192" s="1594"/>
      <c r="AG192" s="1594"/>
      <c r="AH192" s="1594"/>
      <c r="AI192" s="1594"/>
      <c r="AJ192" s="1594"/>
      <c r="AK192" s="1594"/>
      <c r="AL192" s="1594"/>
      <c r="AM192" s="1594"/>
      <c r="AN192" s="1594"/>
      <c r="AO192" s="1594"/>
      <c r="AP192" s="1594"/>
      <c r="AQ192" s="1594"/>
      <c r="AR192" s="1594"/>
      <c r="AS192" s="1594"/>
      <c r="AT192" s="1594"/>
      <c r="AU192" s="1594"/>
      <c r="AV192" s="1594"/>
      <c r="AW192" s="1594"/>
      <c r="AX192" s="1594"/>
      <c r="AY192" s="1594"/>
      <c r="AZ192" s="1594"/>
      <c r="BA192" s="1594"/>
      <c r="BB192" s="1594"/>
      <c r="BC192" s="1594"/>
      <c r="BD192" s="1594"/>
      <c r="BE192" s="1594"/>
      <c r="BF192" s="1594"/>
      <c r="BG192" s="1594"/>
      <c r="BH192" s="1594"/>
      <c r="BI192" s="1594"/>
      <c r="BJ192" s="1594"/>
      <c r="BK192" s="1594"/>
      <c r="BL192" s="1594"/>
      <c r="BM192" s="1594"/>
      <c r="BN192" s="1594"/>
      <c r="BO192" s="1594"/>
      <c r="BP192" s="1594"/>
      <c r="BQ192" s="1594"/>
      <c r="BR192" s="1594"/>
      <c r="BS192" s="1594"/>
      <c r="BT192" s="1594"/>
      <c r="BU192" s="1594"/>
      <c r="BV192" s="1594"/>
      <c r="BW192" s="1594"/>
      <c r="BX192" s="1594"/>
      <c r="BY192" s="1594"/>
      <c r="BZ192" s="1594"/>
      <c r="CA192" s="1594"/>
      <c r="CB192" s="1594"/>
      <c r="CC192" s="1594"/>
      <c r="CD192" s="1594"/>
      <c r="CE192" s="1594"/>
      <c r="CF192" s="1594"/>
      <c r="CG192" s="1594"/>
      <c r="CH192" s="1594"/>
      <c r="CI192" s="1594"/>
      <c r="CJ192" s="1594"/>
      <c r="CK192" s="1594"/>
      <c r="CL192" s="1594"/>
      <c r="CM192" s="1594"/>
      <c r="CN192" s="1594"/>
      <c r="CO192" s="1594"/>
      <c r="CP192" s="1594"/>
      <c r="CQ192" s="1594"/>
      <c r="CR192" s="1594"/>
      <c r="CS192" s="1594"/>
      <c r="CT192" s="1594"/>
      <c r="CU192" s="1594"/>
      <c r="CV192" s="1594"/>
      <c r="CW192" s="1594"/>
      <c r="CX192" s="1594"/>
      <c r="CY192" s="1594"/>
      <c r="CZ192" s="1594"/>
    </row>
    <row r="193" spans="1:104">
      <c r="A193" s="1584"/>
      <c r="C193" s="1591"/>
      <c r="D193" s="146"/>
      <c r="E193" s="1591"/>
      <c r="F193" s="146"/>
      <c r="G193" s="1594"/>
      <c r="Q193" s="317"/>
      <c r="R193" s="1594"/>
      <c r="S193" s="1594"/>
      <c r="T193" s="1594"/>
      <c r="U193" s="621"/>
      <c r="V193" s="499"/>
      <c r="W193" s="317"/>
      <c r="X193" s="317"/>
      <c r="Y193" s="317"/>
      <c r="Z193" s="317"/>
      <c r="AA193" s="317"/>
      <c r="AB193" s="1594"/>
      <c r="AC193" s="317"/>
      <c r="AD193" s="1594"/>
      <c r="AE193" s="1594"/>
      <c r="AF193" s="1594"/>
      <c r="AG193" s="1594"/>
      <c r="AH193" s="1594"/>
      <c r="AI193" s="1594"/>
      <c r="AJ193" s="1594"/>
      <c r="AK193" s="1594"/>
      <c r="AL193" s="1594"/>
      <c r="AM193" s="1594"/>
      <c r="AN193" s="1594"/>
      <c r="AO193" s="1594"/>
      <c r="AP193" s="1594"/>
      <c r="AQ193" s="1594"/>
      <c r="AR193" s="1594"/>
      <c r="AS193" s="1594"/>
      <c r="AT193" s="1594"/>
      <c r="AU193" s="1594"/>
      <c r="AV193" s="1594"/>
      <c r="AW193" s="1594"/>
      <c r="AX193" s="1594"/>
      <c r="AY193" s="1594"/>
      <c r="AZ193" s="1594"/>
      <c r="BA193" s="1594"/>
      <c r="BB193" s="1594"/>
      <c r="BC193" s="1594"/>
      <c r="BD193" s="1594"/>
      <c r="BE193" s="1594"/>
      <c r="BF193" s="1594"/>
      <c r="BG193" s="1594"/>
      <c r="BH193" s="1594"/>
      <c r="BI193" s="1594"/>
      <c r="BJ193" s="1594"/>
      <c r="BK193" s="1594"/>
      <c r="BL193" s="1594"/>
      <c r="BM193" s="1594"/>
      <c r="BN193" s="1594"/>
      <c r="BO193" s="1594"/>
      <c r="BP193" s="1594"/>
      <c r="BQ193" s="1594"/>
      <c r="BR193" s="1594"/>
      <c r="BS193" s="1594"/>
      <c r="BT193" s="1594"/>
      <c r="BU193" s="1594"/>
      <c r="BV193" s="1594"/>
      <c r="BW193" s="1594"/>
      <c r="BX193" s="1594"/>
      <c r="BY193" s="1594"/>
      <c r="BZ193" s="1594"/>
      <c r="CA193" s="1594"/>
      <c r="CB193" s="1594"/>
      <c r="CC193" s="1594"/>
      <c r="CD193" s="1594"/>
      <c r="CE193" s="1594"/>
      <c r="CF193" s="1594"/>
      <c r="CG193" s="1594"/>
      <c r="CH193" s="1594"/>
      <c r="CI193" s="1594"/>
      <c r="CJ193" s="1594"/>
      <c r="CK193" s="1594"/>
      <c r="CL193" s="1594"/>
      <c r="CM193" s="1594"/>
      <c r="CN193" s="1594"/>
      <c r="CO193" s="1594"/>
      <c r="CP193" s="1594"/>
      <c r="CQ193" s="1594"/>
      <c r="CR193" s="1594"/>
      <c r="CS193" s="1594"/>
      <c r="CT193" s="1594"/>
      <c r="CU193" s="1594"/>
      <c r="CV193" s="1594"/>
      <c r="CW193" s="1594"/>
      <c r="CX193" s="1594"/>
      <c r="CY193" s="1594"/>
      <c r="CZ193" s="1594"/>
    </row>
    <row r="194" spans="1:104">
      <c r="A194" s="279"/>
      <c r="B194" s="314"/>
      <c r="C194" s="1185"/>
      <c r="D194" s="1186"/>
      <c r="E194" s="1185"/>
      <c r="F194" s="1186"/>
      <c r="G194" s="314"/>
      <c r="Q194" s="317"/>
      <c r="R194" s="1594"/>
      <c r="S194" s="1594"/>
      <c r="T194" s="1594"/>
      <c r="U194" s="621"/>
      <c r="V194" s="499"/>
      <c r="W194" s="317"/>
      <c r="X194" s="317"/>
      <c r="Y194" s="317"/>
      <c r="Z194" s="317"/>
      <c r="AA194" s="317"/>
      <c r="AB194" s="1594"/>
      <c r="AC194" s="317"/>
      <c r="AD194" s="1594"/>
      <c r="AE194" s="1594"/>
      <c r="AF194" s="1594"/>
      <c r="AG194" s="1594"/>
      <c r="AH194" s="1594"/>
      <c r="AI194" s="1594"/>
      <c r="AJ194" s="1594"/>
      <c r="AK194" s="1594"/>
      <c r="AL194" s="1594"/>
      <c r="AM194" s="1594"/>
      <c r="AN194" s="1594"/>
      <c r="AO194" s="1594"/>
      <c r="AP194" s="1594"/>
      <c r="AQ194" s="1594"/>
      <c r="AR194" s="1594"/>
      <c r="AS194" s="1594"/>
      <c r="AT194" s="1594"/>
      <c r="AU194" s="1594"/>
      <c r="AV194" s="1594"/>
      <c r="AW194" s="1594"/>
      <c r="AX194" s="1594"/>
      <c r="AY194" s="1594"/>
      <c r="AZ194" s="1594"/>
      <c r="BA194" s="1594"/>
      <c r="BB194" s="1594"/>
      <c r="BC194" s="1594"/>
      <c r="BD194" s="1594"/>
      <c r="BE194" s="1594"/>
      <c r="BF194" s="1594"/>
      <c r="BG194" s="1594"/>
      <c r="BH194" s="1594"/>
      <c r="BI194" s="1594"/>
      <c r="BJ194" s="1594"/>
      <c r="BK194" s="1594"/>
      <c r="BL194" s="1594"/>
      <c r="BM194" s="1594"/>
      <c r="BN194" s="1594"/>
      <c r="BO194" s="1594"/>
      <c r="BP194" s="1594"/>
      <c r="BQ194" s="1594"/>
      <c r="BR194" s="1594"/>
      <c r="BS194" s="1594"/>
      <c r="BT194" s="1594"/>
      <c r="BU194" s="1594"/>
      <c r="BV194" s="1594"/>
      <c r="BW194" s="1594"/>
      <c r="BX194" s="1594"/>
      <c r="BY194" s="1594"/>
      <c r="BZ194" s="1594"/>
      <c r="CA194" s="1594"/>
      <c r="CB194" s="1594"/>
      <c r="CC194" s="1594"/>
      <c r="CD194" s="1594"/>
      <c r="CE194" s="1594"/>
      <c r="CF194" s="1594"/>
      <c r="CG194" s="1594"/>
      <c r="CH194" s="1594"/>
      <c r="CI194" s="1594"/>
      <c r="CJ194" s="1594"/>
      <c r="CK194" s="1594"/>
      <c r="CL194" s="1594"/>
      <c r="CM194" s="1594"/>
      <c r="CN194" s="1594"/>
      <c r="CO194" s="1594"/>
      <c r="CP194" s="1594"/>
      <c r="CQ194" s="1594"/>
      <c r="CR194" s="1594"/>
      <c r="CS194" s="1594"/>
      <c r="CT194" s="1594"/>
      <c r="CU194" s="1594"/>
      <c r="CV194" s="1594"/>
      <c r="CW194" s="1594"/>
      <c r="CX194" s="1594"/>
      <c r="CY194" s="1594"/>
      <c r="CZ194" s="1594"/>
    </row>
    <row r="195" spans="1:104">
      <c r="A195" s="1584"/>
      <c r="B195" s="1591"/>
      <c r="C195" s="1591"/>
      <c r="D195" s="146"/>
      <c r="E195" s="1591"/>
      <c r="F195" s="146"/>
      <c r="G195" s="1594"/>
      <c r="Q195" s="317"/>
      <c r="R195" s="1594"/>
      <c r="S195" s="1594"/>
      <c r="T195" s="1594"/>
      <c r="U195" s="621"/>
      <c r="V195" s="499"/>
      <c r="W195" s="317"/>
      <c r="X195" s="317"/>
      <c r="Y195" s="317"/>
      <c r="Z195" s="317"/>
      <c r="AA195" s="317"/>
      <c r="AB195" s="1594"/>
      <c r="AC195" s="317"/>
      <c r="AD195" s="1594"/>
      <c r="AE195" s="1594"/>
      <c r="AF195" s="1594"/>
      <c r="AG195" s="1594"/>
      <c r="AH195" s="1594"/>
      <c r="AI195" s="1594"/>
      <c r="AJ195" s="1594"/>
      <c r="AK195" s="1594"/>
      <c r="AL195" s="1594"/>
      <c r="AM195" s="1594"/>
      <c r="AN195" s="1594"/>
      <c r="AO195" s="1594"/>
      <c r="AP195" s="1594"/>
      <c r="AQ195" s="1594"/>
      <c r="AR195" s="1594"/>
      <c r="AS195" s="1594"/>
      <c r="AT195" s="1594"/>
      <c r="AU195" s="1594"/>
      <c r="AV195" s="1594"/>
      <c r="AW195" s="1594"/>
      <c r="AX195" s="1594"/>
      <c r="AY195" s="1594"/>
      <c r="AZ195" s="1594"/>
      <c r="BA195" s="1594"/>
      <c r="BB195" s="1594"/>
      <c r="BC195" s="1594"/>
      <c r="BD195" s="1594"/>
      <c r="BE195" s="1594"/>
      <c r="BF195" s="1594"/>
      <c r="BG195" s="1594"/>
      <c r="BH195" s="1594"/>
      <c r="BI195" s="1594"/>
      <c r="BJ195" s="1594"/>
      <c r="BK195" s="1594"/>
      <c r="BL195" s="1594"/>
      <c r="BM195" s="1594"/>
      <c r="BN195" s="1594"/>
      <c r="BO195" s="1594"/>
      <c r="BP195" s="1594"/>
      <c r="BQ195" s="1594"/>
      <c r="BR195" s="1594"/>
      <c r="BS195" s="1594"/>
      <c r="BT195" s="1594"/>
      <c r="BU195" s="1594"/>
      <c r="BV195" s="1594"/>
      <c r="BW195" s="1594"/>
      <c r="BX195" s="1594"/>
      <c r="BY195" s="1594"/>
      <c r="BZ195" s="1594"/>
      <c r="CA195" s="1594"/>
      <c r="CB195" s="1594"/>
      <c r="CC195" s="1594"/>
      <c r="CD195" s="1594"/>
      <c r="CE195" s="1594"/>
      <c r="CF195" s="1594"/>
      <c r="CG195" s="1594"/>
      <c r="CH195" s="1594"/>
      <c r="CI195" s="1594"/>
      <c r="CJ195" s="1594"/>
      <c r="CK195" s="1594"/>
      <c r="CL195" s="1594"/>
      <c r="CM195" s="1594"/>
      <c r="CN195" s="1594"/>
      <c r="CO195" s="1594"/>
      <c r="CP195" s="1594"/>
      <c r="CQ195" s="1594"/>
      <c r="CR195" s="1594"/>
      <c r="CS195" s="1594"/>
      <c r="CT195" s="1594"/>
      <c r="CU195" s="1594"/>
      <c r="CV195" s="1594"/>
      <c r="CW195" s="1594"/>
      <c r="CX195" s="1594"/>
      <c r="CY195" s="1594"/>
      <c r="CZ195" s="1594"/>
    </row>
    <row r="196" spans="1:104">
      <c r="A196" s="1589">
        <v>24</v>
      </c>
      <c r="B196" s="142" t="s">
        <v>1336</v>
      </c>
      <c r="C196" s="142"/>
      <c r="D196" s="140" t="s">
        <v>2077</v>
      </c>
      <c r="E196" s="1585"/>
      <c r="F196" s="140" t="s">
        <v>1796</v>
      </c>
      <c r="G196" s="1594"/>
      <c r="Q196" s="136" t="e">
        <f>SUM(Q201:Q204)+Q207</f>
        <v>#REF!</v>
      </c>
      <c r="R196" s="1594"/>
      <c r="S196" s="1594"/>
      <c r="T196" s="1594"/>
      <c r="U196" s="227" t="e">
        <f>SUM(U201:U204)+U207</f>
        <v>#REF!</v>
      </c>
      <c r="V196" s="499"/>
      <c r="W196" s="317"/>
      <c r="X196" s="317"/>
      <c r="Y196" s="317"/>
      <c r="Z196" s="317" t="s">
        <v>36</v>
      </c>
      <c r="AA196" s="317"/>
      <c r="AB196" s="1594"/>
      <c r="AC196" s="317"/>
      <c r="AD196" s="1594"/>
      <c r="AE196" s="1594"/>
      <c r="AF196" s="1594"/>
      <c r="AG196" s="1594"/>
      <c r="AH196" s="1594"/>
      <c r="AI196" s="1594"/>
      <c r="AJ196" s="1594"/>
      <c r="AK196" s="1594"/>
      <c r="AL196" s="1594"/>
      <c r="AM196" s="1594"/>
      <c r="AN196" s="1594"/>
      <c r="AO196" s="1594"/>
      <c r="AP196" s="1594"/>
      <c r="AQ196" s="1594"/>
      <c r="AR196" s="1594"/>
      <c r="AS196" s="1594"/>
      <c r="AT196" s="1594"/>
      <c r="AU196" s="1594"/>
      <c r="AV196" s="1594"/>
      <c r="AW196" s="1594"/>
      <c r="AX196" s="1594"/>
      <c r="AY196" s="1594"/>
      <c r="AZ196" s="1594"/>
      <c r="BA196" s="1594"/>
      <c r="BB196" s="1594"/>
      <c r="BC196" s="1594"/>
      <c r="BD196" s="1594"/>
      <c r="BE196" s="1594"/>
      <c r="BF196" s="1594"/>
      <c r="BG196" s="1594"/>
      <c r="BH196" s="1594"/>
      <c r="BI196" s="1594"/>
      <c r="BJ196" s="1594"/>
      <c r="BK196" s="1594"/>
      <c r="BL196" s="1594"/>
      <c r="BM196" s="1594"/>
      <c r="BN196" s="1594"/>
      <c r="BO196" s="1594"/>
      <c r="BP196" s="1594"/>
      <c r="BQ196" s="1594"/>
      <c r="BR196" s="1594"/>
      <c r="BS196" s="1594"/>
      <c r="BT196" s="1594"/>
      <c r="BU196" s="1594"/>
      <c r="BV196" s="1594"/>
      <c r="BW196" s="1594"/>
      <c r="BX196" s="1594"/>
      <c r="BY196" s="1594"/>
      <c r="BZ196" s="1594"/>
      <c r="CA196" s="1594"/>
      <c r="CB196" s="1594"/>
      <c r="CC196" s="1594"/>
      <c r="CD196" s="1594"/>
      <c r="CE196" s="1594"/>
      <c r="CF196" s="1594"/>
      <c r="CG196" s="1594"/>
      <c r="CH196" s="1594"/>
      <c r="CI196" s="1594"/>
      <c r="CJ196" s="1594"/>
      <c r="CK196" s="1594"/>
      <c r="CL196" s="1594"/>
      <c r="CM196" s="1594"/>
      <c r="CN196" s="1594"/>
      <c r="CO196" s="1594"/>
      <c r="CP196" s="1594"/>
      <c r="CQ196" s="1594"/>
      <c r="CR196" s="1594"/>
      <c r="CS196" s="1594"/>
      <c r="CT196" s="1594"/>
      <c r="CU196" s="1594"/>
      <c r="CV196" s="1594"/>
      <c r="CW196" s="1594"/>
      <c r="CX196" s="1594"/>
      <c r="CY196" s="1594"/>
      <c r="CZ196" s="1594"/>
    </row>
    <row r="197" spans="1:104">
      <c r="A197" s="1589"/>
      <c r="B197" s="142"/>
      <c r="C197" s="142"/>
      <c r="D197" s="1590"/>
      <c r="E197" s="1585"/>
      <c r="F197" s="1590"/>
      <c r="G197" s="1594"/>
      <c r="Q197" s="136"/>
      <c r="R197" s="1594"/>
      <c r="S197" s="1594"/>
      <c r="T197" s="1594"/>
      <c r="U197" s="227"/>
      <c r="V197" s="499"/>
      <c r="W197" s="317"/>
      <c r="X197" s="317"/>
      <c r="Y197" s="317"/>
      <c r="Z197" s="317"/>
      <c r="AA197" s="317"/>
      <c r="AB197" s="1594"/>
      <c r="AC197" s="317"/>
      <c r="AD197" s="1594"/>
      <c r="AE197" s="1594"/>
      <c r="AF197" s="1594"/>
      <c r="AG197" s="1594"/>
      <c r="AH197" s="1594"/>
      <c r="AI197" s="1594"/>
      <c r="AJ197" s="1594"/>
      <c r="AK197" s="1594"/>
      <c r="AL197" s="1594"/>
      <c r="AM197" s="1594"/>
      <c r="AN197" s="1594"/>
      <c r="AO197" s="1594"/>
      <c r="AP197" s="1594"/>
      <c r="AQ197" s="1594"/>
      <c r="AR197" s="1594"/>
      <c r="AS197" s="1594"/>
      <c r="AT197" s="1594"/>
      <c r="AU197" s="1594"/>
      <c r="AV197" s="1594"/>
      <c r="AW197" s="1594"/>
      <c r="AX197" s="1594"/>
      <c r="AY197" s="1594"/>
      <c r="AZ197" s="1594"/>
      <c r="BA197" s="1594"/>
      <c r="BB197" s="1594"/>
      <c r="BC197" s="1594"/>
      <c r="BD197" s="1594"/>
      <c r="BE197" s="1594"/>
      <c r="BF197" s="1594"/>
      <c r="BG197" s="1594"/>
      <c r="BH197" s="1594"/>
      <c r="BI197" s="1594"/>
      <c r="BJ197" s="1594"/>
      <c r="BK197" s="1594"/>
      <c r="BL197" s="1594"/>
      <c r="BM197" s="1594"/>
      <c r="BN197" s="1594"/>
      <c r="BO197" s="1594"/>
      <c r="BP197" s="1594"/>
      <c r="BQ197" s="1594"/>
      <c r="BR197" s="1594"/>
      <c r="BS197" s="1594"/>
      <c r="BT197" s="1594"/>
      <c r="BU197" s="1594"/>
      <c r="BV197" s="1594"/>
      <c r="BW197" s="1594"/>
      <c r="BX197" s="1594"/>
      <c r="BY197" s="1594"/>
      <c r="BZ197" s="1594"/>
      <c r="CA197" s="1594"/>
      <c r="CB197" s="1594"/>
      <c r="CC197" s="1594"/>
      <c r="CD197" s="1594"/>
      <c r="CE197" s="1594"/>
      <c r="CF197" s="1594"/>
      <c r="CG197" s="1594"/>
      <c r="CH197" s="1594"/>
      <c r="CI197" s="1594"/>
      <c r="CJ197" s="1594"/>
      <c r="CK197" s="1594"/>
      <c r="CL197" s="1594"/>
      <c r="CM197" s="1594"/>
      <c r="CN197" s="1594"/>
      <c r="CO197" s="1594"/>
      <c r="CP197" s="1594"/>
      <c r="CQ197" s="1594"/>
      <c r="CR197" s="1594"/>
      <c r="CS197" s="1594"/>
      <c r="CT197" s="1594"/>
      <c r="CU197" s="1594"/>
      <c r="CV197" s="1594"/>
      <c r="CW197" s="1594"/>
      <c r="CX197" s="1594"/>
      <c r="CY197" s="1594"/>
      <c r="CZ197" s="1594"/>
    </row>
    <row r="198" spans="1:104">
      <c r="A198" s="1589"/>
      <c r="B198" s="142"/>
      <c r="C198" s="142"/>
      <c r="D198" s="144"/>
      <c r="E198" s="142"/>
      <c r="F198" s="136"/>
      <c r="G198" s="1594"/>
      <c r="Q198" s="136"/>
      <c r="R198" s="1594"/>
      <c r="S198" s="1594"/>
      <c r="T198" s="1594"/>
      <c r="U198" s="227"/>
      <c r="V198" s="499"/>
      <c r="W198" s="317"/>
      <c r="X198" s="317"/>
      <c r="Y198" s="317"/>
      <c r="Z198" s="317"/>
      <c r="AA198" s="317"/>
      <c r="AB198" s="1594"/>
      <c r="AC198" s="317"/>
      <c r="AD198" s="1594"/>
      <c r="AE198" s="1594"/>
      <c r="AF198" s="1594"/>
      <c r="AG198" s="1594"/>
      <c r="AH198" s="1594"/>
      <c r="AI198" s="1594"/>
      <c r="AJ198" s="1594"/>
      <c r="AK198" s="1594"/>
      <c r="AL198" s="1594"/>
      <c r="AM198" s="1594"/>
      <c r="AN198" s="1594"/>
      <c r="AO198" s="1594"/>
      <c r="AP198" s="1594"/>
      <c r="AQ198" s="1594"/>
      <c r="AR198" s="1594"/>
      <c r="AS198" s="1594"/>
      <c r="AT198" s="1594"/>
      <c r="AU198" s="1594"/>
      <c r="AV198" s="1594"/>
      <c r="AW198" s="1594"/>
      <c r="AX198" s="1594"/>
      <c r="AY198" s="1594"/>
      <c r="AZ198" s="1594"/>
      <c r="BA198" s="1594"/>
      <c r="BB198" s="1594"/>
      <c r="BC198" s="1594"/>
      <c r="BD198" s="1594"/>
      <c r="BE198" s="1594"/>
      <c r="BF198" s="1594"/>
      <c r="BG198" s="1594"/>
      <c r="BH198" s="1594"/>
      <c r="BI198" s="1594"/>
      <c r="BJ198" s="1594"/>
      <c r="BK198" s="1594"/>
      <c r="BL198" s="1594"/>
      <c r="BM198" s="1594"/>
      <c r="BN198" s="1594"/>
      <c r="BO198" s="1594"/>
      <c r="BP198" s="1594"/>
      <c r="BQ198" s="1594"/>
      <c r="BR198" s="1594"/>
      <c r="BS198" s="1594"/>
      <c r="BT198" s="1594"/>
      <c r="BU198" s="1594"/>
      <c r="BV198" s="1594"/>
      <c r="BW198" s="1594"/>
      <c r="BX198" s="1594"/>
      <c r="BY198" s="1594"/>
      <c r="BZ198" s="1594"/>
      <c r="CA198" s="1594"/>
      <c r="CB198" s="1594"/>
      <c r="CC198" s="1594"/>
      <c r="CD198" s="1594"/>
      <c r="CE198" s="1594"/>
      <c r="CF198" s="1594"/>
      <c r="CG198" s="1594"/>
      <c r="CH198" s="1594"/>
      <c r="CI198" s="1594"/>
      <c r="CJ198" s="1594"/>
      <c r="CK198" s="1594"/>
      <c r="CL198" s="1594"/>
      <c r="CM198" s="1594"/>
      <c r="CN198" s="1594"/>
      <c r="CO198" s="1594"/>
      <c r="CP198" s="1594"/>
      <c r="CQ198" s="1594"/>
      <c r="CR198" s="1594"/>
      <c r="CS198" s="1594"/>
      <c r="CT198" s="1594"/>
      <c r="CU198" s="1594"/>
      <c r="CV198" s="1594"/>
      <c r="CW198" s="1594"/>
      <c r="CX198" s="1594"/>
      <c r="CY198" s="1594"/>
      <c r="CZ198" s="1594"/>
    </row>
    <row r="199" spans="1:104" ht="13.5" thickBot="1">
      <c r="A199" s="1589"/>
      <c r="B199" s="142" t="s">
        <v>2126</v>
      </c>
      <c r="C199" s="142"/>
      <c r="D199" s="143">
        <f>SUM(D201:D202)</f>
        <v>1447504.56</v>
      </c>
      <c r="E199" s="142"/>
      <c r="F199" s="143">
        <f>SUM(F201:F202)</f>
        <v>799677.8</v>
      </c>
      <c r="G199" s="1594"/>
      <c r="Q199" s="136"/>
      <c r="R199" s="1594"/>
      <c r="S199" s="1594"/>
      <c r="T199" s="1594"/>
      <c r="U199" s="227"/>
      <c r="V199" s="499"/>
      <c r="W199" s="317"/>
      <c r="X199" s="317"/>
      <c r="Y199" s="317"/>
      <c r="Z199" s="317"/>
      <c r="AA199" s="317"/>
      <c r="AB199" s="1594"/>
      <c r="AC199" s="317"/>
      <c r="AD199" s="1594"/>
      <c r="AE199" s="1594"/>
      <c r="AF199" s="1594"/>
      <c r="AG199" s="1594"/>
      <c r="AH199" s="1594"/>
      <c r="AI199" s="1594"/>
      <c r="AJ199" s="1594"/>
      <c r="AK199" s="1594"/>
      <c r="AL199" s="1594"/>
      <c r="AM199" s="1594"/>
      <c r="AN199" s="1594"/>
      <c r="AO199" s="1594"/>
      <c r="AP199" s="1594"/>
      <c r="AQ199" s="1594"/>
      <c r="AR199" s="1594"/>
      <c r="AS199" s="1594"/>
      <c r="AT199" s="1594"/>
      <c r="AU199" s="1594"/>
      <c r="AV199" s="1594"/>
      <c r="AW199" s="1594"/>
      <c r="AX199" s="1594"/>
      <c r="AY199" s="1594"/>
      <c r="AZ199" s="1594"/>
      <c r="BA199" s="1594"/>
      <c r="BB199" s="1594"/>
      <c r="BC199" s="1594"/>
      <c r="BD199" s="1594"/>
      <c r="BE199" s="1594"/>
      <c r="BF199" s="1594"/>
      <c r="BG199" s="1594"/>
      <c r="BH199" s="1594"/>
      <c r="BI199" s="1594"/>
      <c r="BJ199" s="1594"/>
      <c r="BK199" s="1594"/>
      <c r="BL199" s="1594"/>
      <c r="BM199" s="1594"/>
      <c r="BN199" s="1594"/>
      <c r="BO199" s="1594"/>
      <c r="BP199" s="1594"/>
      <c r="BQ199" s="1594"/>
      <c r="BR199" s="1594"/>
      <c r="BS199" s="1594"/>
      <c r="BT199" s="1594"/>
      <c r="BU199" s="1594"/>
      <c r="BV199" s="1594"/>
      <c r="BW199" s="1594"/>
      <c r="BX199" s="1594"/>
      <c r="BY199" s="1594"/>
      <c r="BZ199" s="1594"/>
      <c r="CA199" s="1594"/>
      <c r="CB199" s="1594"/>
      <c r="CC199" s="1594"/>
      <c r="CD199" s="1594"/>
      <c r="CE199" s="1594"/>
      <c r="CF199" s="1594"/>
      <c r="CG199" s="1594"/>
      <c r="CH199" s="1594"/>
      <c r="CI199" s="1594"/>
      <c r="CJ199" s="1594"/>
      <c r="CK199" s="1594"/>
      <c r="CL199" s="1594"/>
      <c r="CM199" s="1594"/>
      <c r="CN199" s="1594"/>
      <c r="CO199" s="1594"/>
      <c r="CP199" s="1594"/>
      <c r="CQ199" s="1594"/>
      <c r="CR199" s="1594"/>
      <c r="CS199" s="1594"/>
      <c r="CT199" s="1594"/>
      <c r="CU199" s="1594"/>
      <c r="CV199" s="1594"/>
      <c r="CW199" s="1594"/>
      <c r="CX199" s="1594"/>
      <c r="CY199" s="1594"/>
      <c r="CZ199" s="1594"/>
    </row>
    <row r="200" spans="1:104" ht="13.5" thickTop="1">
      <c r="A200" s="1589"/>
      <c r="B200" s="142"/>
      <c r="C200" s="142"/>
      <c r="D200" s="144"/>
      <c r="E200" s="142"/>
      <c r="F200" s="136"/>
      <c r="G200" s="1594"/>
      <c r="Q200" s="136"/>
      <c r="R200" s="1594"/>
      <c r="S200" s="1594"/>
      <c r="T200" s="1594"/>
      <c r="U200" s="227"/>
      <c r="V200" s="499"/>
      <c r="W200" s="317"/>
      <c r="X200" s="317"/>
      <c r="Y200" s="317"/>
      <c r="Z200" s="317"/>
      <c r="AA200" s="317"/>
      <c r="AB200" s="1594"/>
      <c r="AC200" s="317"/>
      <c r="AD200" s="1594"/>
      <c r="AE200" s="1594"/>
      <c r="AF200" s="1594"/>
      <c r="AG200" s="1594"/>
      <c r="AH200" s="1594"/>
      <c r="AI200" s="1594"/>
      <c r="AJ200" s="1594"/>
      <c r="AK200" s="1594"/>
      <c r="AL200" s="1594"/>
      <c r="AM200" s="1594"/>
      <c r="AN200" s="1594"/>
      <c r="AO200" s="1594"/>
      <c r="AP200" s="1594"/>
      <c r="AQ200" s="1594"/>
      <c r="AR200" s="1594"/>
      <c r="AS200" s="1594"/>
      <c r="AT200" s="1594"/>
      <c r="AU200" s="1594"/>
      <c r="AV200" s="1594"/>
      <c r="AW200" s="1594"/>
      <c r="AX200" s="1594"/>
      <c r="AY200" s="1594"/>
      <c r="AZ200" s="1594"/>
      <c r="BA200" s="1594"/>
      <c r="BB200" s="1594"/>
      <c r="BC200" s="1594"/>
      <c r="BD200" s="1594"/>
      <c r="BE200" s="1594"/>
      <c r="BF200" s="1594"/>
      <c r="BG200" s="1594"/>
      <c r="BH200" s="1594"/>
      <c r="BI200" s="1594"/>
      <c r="BJ200" s="1594"/>
      <c r="BK200" s="1594"/>
      <c r="BL200" s="1594"/>
      <c r="BM200" s="1594"/>
      <c r="BN200" s="1594"/>
      <c r="BO200" s="1594"/>
      <c r="BP200" s="1594"/>
      <c r="BQ200" s="1594"/>
      <c r="BR200" s="1594"/>
      <c r="BS200" s="1594"/>
      <c r="BT200" s="1594"/>
      <c r="BU200" s="1594"/>
      <c r="BV200" s="1594"/>
      <c r="BW200" s="1594"/>
      <c r="BX200" s="1594"/>
      <c r="BY200" s="1594"/>
      <c r="BZ200" s="1594"/>
      <c r="CA200" s="1594"/>
      <c r="CB200" s="1594"/>
      <c r="CC200" s="1594"/>
      <c r="CD200" s="1594"/>
      <c r="CE200" s="1594"/>
      <c r="CF200" s="1594"/>
      <c r="CG200" s="1594"/>
      <c r="CH200" s="1594"/>
      <c r="CI200" s="1594"/>
      <c r="CJ200" s="1594"/>
      <c r="CK200" s="1594"/>
      <c r="CL200" s="1594"/>
      <c r="CM200" s="1594"/>
      <c r="CN200" s="1594"/>
      <c r="CO200" s="1594"/>
      <c r="CP200" s="1594"/>
      <c r="CQ200" s="1594"/>
      <c r="CR200" s="1594"/>
      <c r="CS200" s="1594"/>
      <c r="CT200" s="1594"/>
      <c r="CU200" s="1594"/>
      <c r="CV200" s="1594"/>
      <c r="CW200" s="1594"/>
      <c r="CX200" s="1594"/>
      <c r="CY200" s="1594"/>
      <c r="CZ200" s="1594"/>
    </row>
    <row r="201" spans="1:104">
      <c r="A201" s="1584"/>
      <c r="B201" s="1595" t="s">
        <v>306</v>
      </c>
      <c r="C201" s="1595"/>
      <c r="D201" s="262"/>
      <c r="E201" s="1595"/>
      <c r="F201" s="262"/>
      <c r="G201" s="1594"/>
      <c r="Q201" s="624"/>
      <c r="R201" s="1594"/>
      <c r="S201" s="1594"/>
      <c r="T201" s="1594"/>
      <c r="U201" s="625"/>
      <c r="V201" s="499"/>
      <c r="W201" s="317"/>
      <c r="X201" s="317"/>
      <c r="Y201" s="317"/>
      <c r="Z201" s="317" t="s">
        <v>36</v>
      </c>
      <c r="AA201" s="317"/>
      <c r="AB201" s="1594"/>
      <c r="AC201" s="317"/>
      <c r="AD201" s="1594"/>
      <c r="AE201" s="1594"/>
      <c r="AF201" s="1594"/>
      <c r="AG201" s="1594"/>
      <c r="AH201" s="1594"/>
      <c r="AI201" s="1594"/>
      <c r="AJ201" s="1594"/>
      <c r="AK201" s="1594"/>
      <c r="AL201" s="1594"/>
      <c r="AM201" s="1594"/>
      <c r="AN201" s="1594"/>
      <c r="AO201" s="1594"/>
      <c r="AP201" s="1594"/>
      <c r="AQ201" s="1594"/>
      <c r="AR201" s="1594"/>
      <c r="AS201" s="1594"/>
      <c r="AT201" s="1594"/>
      <c r="AU201" s="1594"/>
      <c r="AV201" s="1594"/>
      <c r="AW201" s="1594"/>
      <c r="AX201" s="1594"/>
      <c r="AY201" s="1594"/>
      <c r="AZ201" s="1594"/>
      <c r="BA201" s="1594"/>
      <c r="BB201" s="1594"/>
      <c r="BC201" s="1594"/>
      <c r="BD201" s="1594"/>
      <c r="BE201" s="1594"/>
      <c r="BF201" s="1594"/>
      <c r="BG201" s="1594"/>
      <c r="BH201" s="1594"/>
      <c r="BI201" s="1594"/>
      <c r="BJ201" s="1594"/>
      <c r="BK201" s="1594"/>
      <c r="BL201" s="1594"/>
      <c r="BM201" s="1594"/>
      <c r="BN201" s="1594"/>
      <c r="BO201" s="1594"/>
      <c r="BP201" s="1594"/>
      <c r="BQ201" s="1594"/>
      <c r="BR201" s="1594"/>
      <c r="BS201" s="1594"/>
      <c r="BT201" s="1594"/>
      <c r="BU201" s="1594"/>
      <c r="BV201" s="1594"/>
      <c r="BW201" s="1594"/>
      <c r="BX201" s="1594"/>
      <c r="BY201" s="1594"/>
      <c r="BZ201" s="1594"/>
      <c r="CA201" s="1594"/>
      <c r="CB201" s="1594"/>
      <c r="CC201" s="1594"/>
      <c r="CD201" s="1594"/>
      <c r="CE201" s="1594"/>
      <c r="CF201" s="1594"/>
      <c r="CG201" s="1594"/>
      <c r="CH201" s="1594"/>
      <c r="CI201" s="1594"/>
      <c r="CJ201" s="1594"/>
      <c r="CK201" s="1594"/>
      <c r="CL201" s="1594"/>
      <c r="CM201" s="1594"/>
      <c r="CN201" s="1594"/>
      <c r="CO201" s="1594"/>
      <c r="CP201" s="1594"/>
      <c r="CQ201" s="1594"/>
      <c r="CR201" s="1594"/>
      <c r="CS201" s="1594"/>
      <c r="CT201" s="1594"/>
      <c r="CU201" s="1594"/>
      <c r="CV201" s="1594"/>
      <c r="CW201" s="1594"/>
      <c r="CX201" s="1594"/>
      <c r="CY201" s="1594"/>
      <c r="CZ201" s="1594"/>
    </row>
    <row r="202" spans="1:104">
      <c r="A202" s="1584"/>
      <c r="B202" s="1595" t="s">
        <v>307</v>
      </c>
      <c r="C202" s="1595"/>
      <c r="D202" s="338">
        <f>-SUM('TRAIL BALANCE'!F185)</f>
        <v>1447504.56</v>
      </c>
      <c r="E202" s="1595"/>
      <c r="F202" s="338">
        <f>-SUM('TRAIL BALANCE'!E185)</f>
        <v>799677.8</v>
      </c>
      <c r="G202" s="1594"/>
      <c r="Q202" s="563" t="e">
        <f>-SUM('TRAIL BALANCE'!#REF!)</f>
        <v>#REF!</v>
      </c>
      <c r="R202" s="1594"/>
      <c r="S202" s="1594"/>
      <c r="T202" s="1594"/>
      <c r="U202" s="648" t="e">
        <f>-SUM('TRAIL BALANCE'!#REF!)</f>
        <v>#REF!</v>
      </c>
      <c r="V202" s="499"/>
      <c r="W202" s="316" t="s">
        <v>36</v>
      </c>
      <c r="X202" s="317"/>
      <c r="Y202" s="317"/>
      <c r="Z202" s="317"/>
      <c r="AA202" s="317"/>
      <c r="AB202" s="1594"/>
      <c r="AC202" s="317"/>
      <c r="AD202" s="1594"/>
      <c r="AE202" s="1594"/>
      <c r="AF202" s="1594"/>
      <c r="AG202" s="1594"/>
      <c r="AH202" s="1594"/>
      <c r="AI202" s="1594"/>
      <c r="AJ202" s="1594"/>
      <c r="AK202" s="1594"/>
      <c r="AL202" s="1594"/>
      <c r="AM202" s="1594"/>
      <c r="AN202" s="1594"/>
      <c r="AO202" s="1594"/>
      <c r="AP202" s="1594"/>
      <c r="AQ202" s="1594"/>
      <c r="AR202" s="1594"/>
      <c r="AS202" s="1594"/>
      <c r="AT202" s="1594"/>
      <c r="AU202" s="1594"/>
      <c r="AV202" s="1594"/>
      <c r="AW202" s="1594"/>
      <c r="AX202" s="1594"/>
      <c r="AY202" s="1594"/>
      <c r="AZ202" s="1594"/>
      <c r="BA202" s="1594"/>
      <c r="BB202" s="1594"/>
      <c r="BC202" s="1594"/>
      <c r="BD202" s="1594"/>
      <c r="BE202" s="1594"/>
      <c r="BF202" s="1594"/>
      <c r="BG202" s="1594"/>
      <c r="BH202" s="1594"/>
      <c r="BI202" s="1594"/>
      <c r="BJ202" s="1594"/>
      <c r="BK202" s="1594"/>
      <c r="BL202" s="1594"/>
      <c r="BM202" s="1594"/>
      <c r="BN202" s="1594"/>
      <c r="BO202" s="1594"/>
      <c r="BP202" s="1594"/>
      <c r="BQ202" s="1594"/>
      <c r="BR202" s="1594"/>
      <c r="BS202" s="1594"/>
      <c r="BT202" s="1594"/>
      <c r="BU202" s="1594"/>
      <c r="BV202" s="1594"/>
      <c r="BW202" s="1594"/>
      <c r="BX202" s="1594"/>
      <c r="BY202" s="1594"/>
      <c r="BZ202" s="1594"/>
      <c r="CA202" s="1594"/>
      <c r="CB202" s="1594"/>
      <c r="CC202" s="1594"/>
      <c r="CD202" s="1594"/>
      <c r="CE202" s="1594"/>
      <c r="CF202" s="1594"/>
      <c r="CG202" s="1594"/>
      <c r="CH202" s="1594"/>
      <c r="CI202" s="1594"/>
      <c r="CJ202" s="1594"/>
      <c r="CK202" s="1594"/>
      <c r="CL202" s="1594"/>
      <c r="CM202" s="1594"/>
      <c r="CN202" s="1594"/>
      <c r="CO202" s="1594"/>
      <c r="CP202" s="1594"/>
      <c r="CQ202" s="1594"/>
      <c r="CR202" s="1594"/>
      <c r="CS202" s="1594"/>
      <c r="CT202" s="1594"/>
      <c r="CU202" s="1594"/>
      <c r="CV202" s="1594"/>
      <c r="CW202" s="1594"/>
      <c r="CX202" s="1594"/>
      <c r="CY202" s="1594"/>
      <c r="CZ202" s="1594"/>
    </row>
    <row r="203" spans="1:104" hidden="1">
      <c r="A203" s="1584"/>
      <c r="B203" s="1595" t="s">
        <v>1315</v>
      </c>
      <c r="C203" s="1595"/>
      <c r="D203" s="325"/>
      <c r="E203" s="1595"/>
      <c r="F203" s="331"/>
      <c r="G203" s="1594"/>
      <c r="Q203" s="539"/>
      <c r="R203" s="1594"/>
      <c r="S203" s="1594"/>
      <c r="T203" s="1594"/>
      <c r="U203" s="626"/>
      <c r="V203" s="499"/>
      <c r="W203" s="317"/>
      <c r="X203" s="317"/>
      <c r="Y203" s="317"/>
      <c r="Z203" s="317"/>
      <c r="AA203" s="317"/>
      <c r="AB203" s="1594"/>
      <c r="AC203" s="317"/>
      <c r="AD203" s="1594"/>
      <c r="AE203" s="1594"/>
      <c r="AF203" s="1594"/>
      <c r="AG203" s="1594"/>
      <c r="AH203" s="1594"/>
      <c r="AI203" s="1594"/>
      <c r="AJ203" s="1594"/>
      <c r="AK203" s="1594"/>
      <c r="AL203" s="1594"/>
      <c r="AM203" s="1594"/>
      <c r="AN203" s="1594"/>
      <c r="AO203" s="1594"/>
      <c r="AP203" s="1594"/>
      <c r="AQ203" s="1594"/>
      <c r="AR203" s="1594"/>
      <c r="AS203" s="1594"/>
      <c r="AT203" s="1594"/>
      <c r="AU203" s="1594"/>
      <c r="AV203" s="1594"/>
      <c r="AW203" s="1594"/>
      <c r="AX203" s="1594"/>
      <c r="AY203" s="1594"/>
      <c r="AZ203" s="1594"/>
      <c r="BA203" s="1594"/>
      <c r="BB203" s="1594"/>
      <c r="BC203" s="1594"/>
      <c r="BD203" s="1594"/>
      <c r="BE203" s="1594"/>
      <c r="BF203" s="1594"/>
      <c r="BG203" s="1594"/>
      <c r="BH203" s="1594"/>
      <c r="BI203" s="1594"/>
      <c r="BJ203" s="1594"/>
      <c r="BK203" s="1594"/>
      <c r="BL203" s="1594"/>
      <c r="BM203" s="1594"/>
      <c r="BN203" s="1594"/>
      <c r="BO203" s="1594"/>
      <c r="BP203" s="1594"/>
      <c r="BQ203" s="1594"/>
      <c r="BR203" s="1594"/>
      <c r="BS203" s="1594"/>
      <c r="BT203" s="1594"/>
      <c r="BU203" s="1594"/>
      <c r="BV203" s="1594"/>
      <c r="BW203" s="1594"/>
      <c r="BX203" s="1594"/>
      <c r="BY203" s="1594"/>
      <c r="BZ203" s="1594"/>
      <c r="CA203" s="1594"/>
      <c r="CB203" s="1594"/>
      <c r="CC203" s="1594"/>
      <c r="CD203" s="1594"/>
      <c r="CE203" s="1594"/>
      <c r="CF203" s="1594"/>
      <c r="CG203" s="1594"/>
      <c r="CH203" s="1594"/>
      <c r="CI203" s="1594"/>
      <c r="CJ203" s="1594"/>
      <c r="CK203" s="1594"/>
      <c r="CL203" s="1594"/>
      <c r="CM203" s="1594"/>
      <c r="CN203" s="1594"/>
      <c r="CO203" s="1594"/>
      <c r="CP203" s="1594"/>
      <c r="CQ203" s="1594"/>
      <c r="CR203" s="1594"/>
      <c r="CS203" s="1594"/>
      <c r="CT203" s="1594"/>
      <c r="CU203" s="1594"/>
      <c r="CV203" s="1594"/>
      <c r="CW203" s="1594"/>
      <c r="CX203" s="1594"/>
      <c r="CY203" s="1594"/>
      <c r="CZ203" s="1594"/>
    </row>
    <row r="204" spans="1:104" hidden="1">
      <c r="A204" s="1584"/>
      <c r="B204" s="1595" t="s">
        <v>531</v>
      </c>
      <c r="C204" s="1595"/>
      <c r="D204" s="325"/>
      <c r="E204" s="1595"/>
      <c r="F204" s="331"/>
      <c r="G204" s="1594"/>
      <c r="Q204" s="539">
        <f>SUM(Q205:Q206)</f>
        <v>0</v>
      </c>
      <c r="R204" s="1594"/>
      <c r="S204" s="1594"/>
      <c r="T204" s="1594"/>
      <c r="U204" s="626">
        <f>SUM(U205:U206)</f>
        <v>0</v>
      </c>
      <c r="V204" s="499"/>
      <c r="W204" s="317"/>
      <c r="X204" s="317"/>
      <c r="Y204" s="317"/>
      <c r="Z204" s="317"/>
      <c r="AA204" s="317"/>
      <c r="AB204" s="1594"/>
      <c r="AC204" s="317"/>
      <c r="AD204" s="1594"/>
      <c r="AE204" s="1594"/>
      <c r="AF204" s="1594"/>
      <c r="AG204" s="1594"/>
      <c r="AH204" s="1594"/>
      <c r="AI204" s="1594"/>
      <c r="AJ204" s="1594"/>
      <c r="AK204" s="1594"/>
      <c r="AL204" s="1594"/>
      <c r="AM204" s="1594"/>
      <c r="AN204" s="1594"/>
      <c r="AO204" s="1594"/>
      <c r="AP204" s="1594"/>
      <c r="AQ204" s="1594"/>
      <c r="AR204" s="1594"/>
      <c r="AS204" s="1594"/>
      <c r="AT204" s="1594"/>
      <c r="AU204" s="1594"/>
      <c r="AV204" s="1594"/>
      <c r="AW204" s="1594"/>
      <c r="AX204" s="1594"/>
      <c r="AY204" s="1594"/>
      <c r="AZ204" s="1594"/>
      <c r="BA204" s="1594"/>
      <c r="BB204" s="1594"/>
      <c r="BC204" s="1594"/>
      <c r="BD204" s="1594"/>
      <c r="BE204" s="1594"/>
      <c r="BF204" s="1594"/>
      <c r="BG204" s="1594"/>
      <c r="BH204" s="1594"/>
      <c r="BI204" s="1594"/>
      <c r="BJ204" s="1594"/>
      <c r="BK204" s="1594"/>
      <c r="BL204" s="1594"/>
      <c r="BM204" s="1594"/>
      <c r="BN204" s="1594"/>
      <c r="BO204" s="1594"/>
      <c r="BP204" s="1594"/>
      <c r="BQ204" s="1594"/>
      <c r="BR204" s="1594"/>
      <c r="BS204" s="1594"/>
      <c r="BT204" s="1594"/>
      <c r="BU204" s="1594"/>
      <c r="BV204" s="1594"/>
      <c r="BW204" s="1594"/>
      <c r="BX204" s="1594"/>
      <c r="BY204" s="1594"/>
      <c r="BZ204" s="1594"/>
      <c r="CA204" s="1594"/>
      <c r="CB204" s="1594"/>
      <c r="CC204" s="1594"/>
      <c r="CD204" s="1594"/>
      <c r="CE204" s="1594"/>
      <c r="CF204" s="1594"/>
      <c r="CG204" s="1594"/>
      <c r="CH204" s="1594"/>
      <c r="CI204" s="1594"/>
      <c r="CJ204" s="1594"/>
      <c r="CK204" s="1594"/>
      <c r="CL204" s="1594"/>
      <c r="CM204" s="1594"/>
      <c r="CN204" s="1594"/>
      <c r="CO204" s="1594"/>
      <c r="CP204" s="1594"/>
      <c r="CQ204" s="1594"/>
      <c r="CR204" s="1594"/>
      <c r="CS204" s="1594"/>
      <c r="CT204" s="1594"/>
      <c r="CU204" s="1594"/>
      <c r="CV204" s="1594"/>
      <c r="CW204" s="1594"/>
      <c r="CX204" s="1594"/>
      <c r="CY204" s="1594"/>
      <c r="CZ204" s="1594"/>
    </row>
    <row r="205" spans="1:104" hidden="1">
      <c r="A205" s="1584"/>
      <c r="B205" s="1587" t="s">
        <v>711</v>
      </c>
      <c r="C205" s="1587"/>
      <c r="D205" s="628"/>
      <c r="E205" s="1587"/>
      <c r="F205" s="632"/>
      <c r="G205" s="1594"/>
      <c r="Q205" s="539"/>
      <c r="R205" s="1594"/>
      <c r="S205" s="1594"/>
      <c r="T205" s="1594"/>
      <c r="U205" s="626"/>
      <c r="V205" s="499"/>
      <c r="W205" s="317"/>
      <c r="X205" s="317"/>
      <c r="Y205" s="317"/>
      <c r="Z205" s="317"/>
      <c r="AA205" s="317"/>
      <c r="AB205" s="1594"/>
      <c r="AC205" s="317"/>
      <c r="AD205" s="1594"/>
      <c r="AE205" s="1594"/>
      <c r="AF205" s="1594"/>
      <c r="AG205" s="1594"/>
      <c r="AH205" s="1594"/>
      <c r="AI205" s="1594"/>
      <c r="AJ205" s="1594"/>
      <c r="AK205" s="1594"/>
      <c r="AL205" s="1594"/>
      <c r="AM205" s="1594"/>
      <c r="AN205" s="1594"/>
      <c r="AO205" s="1594"/>
      <c r="AP205" s="1594"/>
      <c r="AQ205" s="1594"/>
      <c r="AR205" s="1594"/>
      <c r="AS205" s="1594"/>
      <c r="AT205" s="1594"/>
      <c r="AU205" s="1594"/>
      <c r="AV205" s="1594"/>
      <c r="AW205" s="1594"/>
      <c r="AX205" s="1594"/>
      <c r="AY205" s="1594"/>
      <c r="AZ205" s="1594"/>
      <c r="BA205" s="1594"/>
      <c r="BB205" s="1594"/>
      <c r="BC205" s="1594"/>
      <c r="BD205" s="1594"/>
      <c r="BE205" s="1594"/>
      <c r="BF205" s="1594"/>
      <c r="BG205" s="1594"/>
      <c r="BH205" s="1594"/>
      <c r="BI205" s="1594"/>
      <c r="BJ205" s="1594"/>
      <c r="BK205" s="1594"/>
      <c r="BL205" s="1594"/>
      <c r="BM205" s="1594"/>
      <c r="BN205" s="1594"/>
      <c r="BO205" s="1594"/>
      <c r="BP205" s="1594"/>
      <c r="BQ205" s="1594"/>
      <c r="BR205" s="1594"/>
      <c r="BS205" s="1594"/>
      <c r="BT205" s="1594"/>
      <c r="BU205" s="1594"/>
      <c r="BV205" s="1594"/>
      <c r="BW205" s="1594"/>
      <c r="BX205" s="1594"/>
      <c r="BY205" s="1594"/>
      <c r="BZ205" s="1594"/>
      <c r="CA205" s="1594"/>
      <c r="CB205" s="1594"/>
      <c r="CC205" s="1594"/>
      <c r="CD205" s="1594"/>
      <c r="CE205" s="1594"/>
      <c r="CF205" s="1594"/>
      <c r="CG205" s="1594"/>
      <c r="CH205" s="1594"/>
      <c r="CI205" s="1594"/>
      <c r="CJ205" s="1594"/>
      <c r="CK205" s="1594"/>
      <c r="CL205" s="1594"/>
      <c r="CM205" s="1594"/>
      <c r="CN205" s="1594"/>
      <c r="CO205" s="1594"/>
      <c r="CP205" s="1594"/>
      <c r="CQ205" s="1594"/>
      <c r="CR205" s="1594"/>
      <c r="CS205" s="1594"/>
      <c r="CT205" s="1594"/>
      <c r="CU205" s="1594"/>
      <c r="CV205" s="1594"/>
      <c r="CW205" s="1594"/>
      <c r="CX205" s="1594"/>
      <c r="CY205" s="1594"/>
      <c r="CZ205" s="1594"/>
    </row>
    <row r="206" spans="1:104" hidden="1">
      <c r="A206" s="1584"/>
      <c r="B206" s="1587" t="s">
        <v>712</v>
      </c>
      <c r="C206" s="1587"/>
      <c r="D206" s="628"/>
      <c r="E206" s="1587"/>
      <c r="F206" s="632"/>
      <c r="G206" s="1594"/>
      <c r="Q206" s="539"/>
      <c r="R206" s="1594"/>
      <c r="S206" s="1594"/>
      <c r="T206" s="1594"/>
      <c r="U206" s="626"/>
      <c r="V206" s="499"/>
      <c r="W206" s="317"/>
      <c r="X206" s="317"/>
      <c r="Y206" s="317"/>
      <c r="Z206" s="317"/>
      <c r="AA206" s="317"/>
      <c r="AB206" s="1594"/>
      <c r="AC206" s="317"/>
      <c r="AD206" s="1594"/>
      <c r="AE206" s="1594"/>
      <c r="AF206" s="1594"/>
      <c r="AG206" s="1594"/>
      <c r="AH206" s="1594"/>
      <c r="AI206" s="1594"/>
      <c r="AJ206" s="1594"/>
      <c r="AK206" s="1594"/>
      <c r="AL206" s="1594"/>
      <c r="AM206" s="1594"/>
      <c r="AN206" s="1594"/>
      <c r="AO206" s="1594"/>
      <c r="AP206" s="1594"/>
      <c r="AQ206" s="1594"/>
      <c r="AR206" s="1594"/>
      <c r="AS206" s="1594"/>
      <c r="AT206" s="1594"/>
      <c r="AU206" s="1594"/>
      <c r="AV206" s="1594"/>
      <c r="AW206" s="1594"/>
      <c r="AX206" s="1594"/>
      <c r="AY206" s="1594"/>
      <c r="AZ206" s="1594"/>
      <c r="BA206" s="1594"/>
      <c r="BB206" s="1594"/>
      <c r="BC206" s="1594"/>
      <c r="BD206" s="1594"/>
      <c r="BE206" s="1594"/>
      <c r="BF206" s="1594"/>
      <c r="BG206" s="1594"/>
      <c r="BH206" s="1594"/>
      <c r="BI206" s="1594"/>
      <c r="BJ206" s="1594"/>
      <c r="BK206" s="1594"/>
      <c r="BL206" s="1594"/>
      <c r="BM206" s="1594"/>
      <c r="BN206" s="1594"/>
      <c r="BO206" s="1594"/>
      <c r="BP206" s="1594"/>
      <c r="BQ206" s="1594"/>
      <c r="BR206" s="1594"/>
      <c r="BS206" s="1594"/>
      <c r="BT206" s="1594"/>
      <c r="BU206" s="1594"/>
      <c r="BV206" s="1594"/>
      <c r="BW206" s="1594"/>
      <c r="BX206" s="1594"/>
      <c r="BY206" s="1594"/>
      <c r="BZ206" s="1594"/>
      <c r="CA206" s="1594"/>
      <c r="CB206" s="1594"/>
      <c r="CC206" s="1594"/>
      <c r="CD206" s="1594"/>
      <c r="CE206" s="1594"/>
      <c r="CF206" s="1594"/>
      <c r="CG206" s="1594"/>
      <c r="CH206" s="1594"/>
      <c r="CI206" s="1594"/>
      <c r="CJ206" s="1594"/>
      <c r="CK206" s="1594"/>
      <c r="CL206" s="1594"/>
      <c r="CM206" s="1594"/>
      <c r="CN206" s="1594"/>
      <c r="CO206" s="1594"/>
      <c r="CP206" s="1594"/>
      <c r="CQ206" s="1594"/>
      <c r="CR206" s="1594"/>
      <c r="CS206" s="1594"/>
      <c r="CT206" s="1594"/>
      <c r="CU206" s="1594"/>
      <c r="CV206" s="1594"/>
      <c r="CW206" s="1594"/>
      <c r="CX206" s="1594"/>
      <c r="CY206" s="1594"/>
      <c r="CZ206" s="1594"/>
    </row>
    <row r="207" spans="1:104" hidden="1">
      <c r="A207" s="1584"/>
      <c r="B207" s="1595" t="s">
        <v>709</v>
      </c>
      <c r="C207" s="1595"/>
      <c r="D207" s="325"/>
      <c r="E207" s="1595"/>
      <c r="F207" s="327"/>
      <c r="G207" s="1594"/>
      <c r="Q207" s="563"/>
      <c r="R207" s="1594"/>
      <c r="S207" s="1594"/>
      <c r="T207" s="1594"/>
      <c r="U207" s="648"/>
      <c r="V207" s="499"/>
      <c r="W207" s="317"/>
      <c r="X207" s="317"/>
      <c r="Y207" s="317"/>
      <c r="Z207" s="317"/>
      <c r="AA207" s="317"/>
      <c r="AB207" s="1594"/>
      <c r="AC207" s="317"/>
      <c r="AD207" s="1594"/>
      <c r="AE207" s="1594"/>
      <c r="AF207" s="1594"/>
      <c r="AG207" s="1594"/>
      <c r="AH207" s="1594"/>
      <c r="AI207" s="1594"/>
      <c r="AJ207" s="1594"/>
      <c r="AK207" s="1594"/>
      <c r="AL207" s="1594"/>
      <c r="AM207" s="1594"/>
      <c r="AN207" s="1594"/>
      <c r="AO207" s="1594"/>
      <c r="AP207" s="1594"/>
      <c r="AQ207" s="1594"/>
      <c r="AR207" s="1594"/>
      <c r="AS207" s="1594"/>
      <c r="AT207" s="1594"/>
      <c r="AU207" s="1594"/>
      <c r="AV207" s="1594"/>
      <c r="AW207" s="1594"/>
      <c r="AX207" s="1594"/>
      <c r="AY207" s="1594"/>
      <c r="AZ207" s="1594"/>
      <c r="BA207" s="1594"/>
      <c r="BB207" s="1594"/>
      <c r="BC207" s="1594"/>
      <c r="BD207" s="1594"/>
      <c r="BE207" s="1594"/>
      <c r="BF207" s="1594"/>
      <c r="BG207" s="1594"/>
      <c r="BH207" s="1594"/>
      <c r="BI207" s="1594"/>
      <c r="BJ207" s="1594"/>
      <c r="BK207" s="1594"/>
      <c r="BL207" s="1594"/>
      <c r="BM207" s="1594"/>
      <c r="BN207" s="1594"/>
      <c r="BO207" s="1594"/>
      <c r="BP207" s="1594"/>
      <c r="BQ207" s="1594"/>
      <c r="BR207" s="1594"/>
      <c r="BS207" s="1594"/>
      <c r="BT207" s="1594"/>
      <c r="BU207" s="1594"/>
      <c r="BV207" s="1594"/>
      <c r="BW207" s="1594"/>
      <c r="BX207" s="1594"/>
      <c r="BY207" s="1594"/>
      <c r="BZ207" s="1594"/>
      <c r="CA207" s="1594"/>
      <c r="CB207" s="1594"/>
      <c r="CC207" s="1594"/>
      <c r="CD207" s="1594"/>
      <c r="CE207" s="1594"/>
      <c r="CF207" s="1594"/>
      <c r="CG207" s="1594"/>
      <c r="CH207" s="1594"/>
      <c r="CI207" s="1594"/>
      <c r="CJ207" s="1594"/>
      <c r="CK207" s="1594"/>
      <c r="CL207" s="1594"/>
      <c r="CM207" s="1594"/>
      <c r="CN207" s="1594"/>
      <c r="CO207" s="1594"/>
      <c r="CP207" s="1594"/>
      <c r="CQ207" s="1594"/>
      <c r="CR207" s="1594"/>
      <c r="CS207" s="1594"/>
      <c r="CT207" s="1594"/>
      <c r="CU207" s="1594"/>
      <c r="CV207" s="1594"/>
      <c r="CW207" s="1594"/>
      <c r="CX207" s="1594"/>
      <c r="CY207" s="1594"/>
      <c r="CZ207" s="1594"/>
    </row>
    <row r="208" spans="1:104">
      <c r="A208" s="1584"/>
      <c r="B208" s="1595"/>
      <c r="C208" s="1595"/>
      <c r="D208" s="325"/>
      <c r="E208" s="1595"/>
      <c r="F208" s="325"/>
      <c r="G208" s="1594"/>
      <c r="Q208" s="317"/>
      <c r="R208" s="1594"/>
      <c r="S208" s="1594"/>
      <c r="T208" s="1594"/>
      <c r="U208" s="621"/>
      <c r="V208" s="499"/>
      <c r="W208" s="317"/>
      <c r="X208" s="317"/>
      <c r="Y208" s="317"/>
      <c r="Z208" s="317"/>
      <c r="AA208" s="317"/>
      <c r="AB208" s="1594"/>
      <c r="AC208" s="317"/>
      <c r="AD208" s="1594"/>
      <c r="AE208" s="1594"/>
      <c r="AF208" s="1594"/>
      <c r="AG208" s="1594"/>
      <c r="AH208" s="1594"/>
      <c r="AI208" s="1594"/>
      <c r="AJ208" s="1594"/>
      <c r="AK208" s="1594"/>
      <c r="AL208" s="1594"/>
      <c r="AM208" s="1594"/>
      <c r="AN208" s="1594"/>
      <c r="AO208" s="1594"/>
      <c r="AP208" s="1594"/>
      <c r="AQ208" s="1594"/>
      <c r="AR208" s="1594"/>
      <c r="AS208" s="1594"/>
      <c r="AT208" s="1594"/>
      <c r="AU208" s="1594"/>
      <c r="AV208" s="1594"/>
      <c r="AW208" s="1594"/>
      <c r="AX208" s="1594"/>
      <c r="AY208" s="1594"/>
      <c r="AZ208" s="1594"/>
      <c r="BA208" s="1594"/>
      <c r="BB208" s="1594"/>
      <c r="BC208" s="1594"/>
      <c r="BD208" s="1594"/>
      <c r="BE208" s="1594"/>
      <c r="BF208" s="1594"/>
      <c r="BG208" s="1594"/>
      <c r="BH208" s="1594"/>
      <c r="BI208" s="1594"/>
      <c r="BJ208" s="1594"/>
      <c r="BK208" s="1594"/>
      <c r="BL208" s="1594"/>
      <c r="BM208" s="1594"/>
      <c r="BN208" s="1594"/>
      <c r="BO208" s="1594"/>
      <c r="BP208" s="1594"/>
      <c r="BQ208" s="1594"/>
      <c r="BR208" s="1594"/>
      <c r="BS208" s="1594"/>
      <c r="BT208" s="1594"/>
      <c r="BU208" s="1594"/>
      <c r="BV208" s="1594"/>
      <c r="BW208" s="1594"/>
      <c r="BX208" s="1594"/>
      <c r="BY208" s="1594"/>
      <c r="BZ208" s="1594"/>
      <c r="CA208" s="1594"/>
      <c r="CB208" s="1594"/>
      <c r="CC208" s="1594"/>
      <c r="CD208" s="1594"/>
      <c r="CE208" s="1594"/>
      <c r="CF208" s="1594"/>
      <c r="CG208" s="1594"/>
      <c r="CH208" s="1594"/>
      <c r="CI208" s="1594"/>
      <c r="CJ208" s="1594"/>
      <c r="CK208" s="1594"/>
      <c r="CL208" s="1594"/>
      <c r="CM208" s="1594"/>
      <c r="CN208" s="1594"/>
      <c r="CO208" s="1594"/>
      <c r="CP208" s="1594"/>
      <c r="CQ208" s="1594"/>
      <c r="CR208" s="1594"/>
      <c r="CS208" s="1594"/>
      <c r="CT208" s="1594"/>
      <c r="CU208" s="1594"/>
      <c r="CV208" s="1594"/>
      <c r="CW208" s="1594"/>
      <c r="CX208" s="1594"/>
      <c r="CY208" s="1594"/>
      <c r="CZ208" s="1594"/>
    </row>
    <row r="209" spans="1:104" ht="26.25" thickBot="1">
      <c r="A209" s="1584"/>
      <c r="B209" s="142" t="s">
        <v>2840</v>
      </c>
      <c r="C209" s="142"/>
      <c r="D209" s="143">
        <f>D199+D188</f>
        <v>1617106.54</v>
      </c>
      <c r="E209" s="142"/>
      <c r="F209" s="143">
        <f>F199+F188</f>
        <v>866905.8</v>
      </c>
      <c r="G209" s="1594"/>
      <c r="Q209" s="143" t="e">
        <f>Q196+Q186</f>
        <v>#REF!</v>
      </c>
      <c r="R209" s="1594"/>
      <c r="S209" s="1594"/>
      <c r="T209" s="1594"/>
      <c r="U209" s="246" t="e">
        <f>U196+U186</f>
        <v>#REF!</v>
      </c>
      <c r="V209" s="499"/>
      <c r="W209" s="317"/>
      <c r="X209" s="317"/>
      <c r="Y209" s="317"/>
      <c r="Z209" s="317"/>
      <c r="AA209" s="317"/>
      <c r="AB209" s="1594"/>
      <c r="AC209" s="317"/>
      <c r="AD209" s="1594"/>
      <c r="AE209" s="1594"/>
      <c r="AF209" s="1594"/>
      <c r="AG209" s="1594"/>
      <c r="AH209" s="1594"/>
      <c r="AI209" s="1594"/>
      <c r="AJ209" s="1594"/>
      <c r="AK209" s="1594"/>
      <c r="AL209" s="1594"/>
      <c r="AM209" s="1594"/>
      <c r="AN209" s="1594"/>
      <c r="AO209" s="1594"/>
      <c r="AP209" s="1594"/>
      <c r="AQ209" s="1594"/>
      <c r="AR209" s="1594"/>
      <c r="AS209" s="1594"/>
      <c r="AT209" s="1594"/>
      <c r="AU209" s="1594"/>
      <c r="AV209" s="1594"/>
      <c r="AW209" s="1594"/>
      <c r="AX209" s="1594"/>
      <c r="AY209" s="1594"/>
      <c r="AZ209" s="1594"/>
      <c r="BA209" s="1594"/>
      <c r="BB209" s="1594"/>
      <c r="BC209" s="1594"/>
      <c r="BD209" s="1594"/>
      <c r="BE209" s="1594"/>
      <c r="BF209" s="1594"/>
      <c r="BG209" s="1594"/>
      <c r="BH209" s="1594"/>
      <c r="BI209" s="1594"/>
      <c r="BJ209" s="1594"/>
      <c r="BK209" s="1594"/>
      <c r="BL209" s="1594"/>
      <c r="BM209" s="1594"/>
      <c r="BN209" s="1594"/>
      <c r="BO209" s="1594"/>
      <c r="BP209" s="1594"/>
      <c r="BQ209" s="1594"/>
      <c r="BR209" s="1594"/>
      <c r="BS209" s="1594"/>
      <c r="BT209" s="1594"/>
      <c r="BU209" s="1594"/>
      <c r="BV209" s="1594"/>
      <c r="BW209" s="1594"/>
      <c r="BX209" s="1594"/>
      <c r="BY209" s="1594"/>
      <c r="BZ209" s="1594"/>
      <c r="CA209" s="1594"/>
      <c r="CB209" s="1594"/>
      <c r="CC209" s="1594"/>
      <c r="CD209" s="1594"/>
      <c r="CE209" s="1594"/>
      <c r="CF209" s="1594"/>
      <c r="CG209" s="1594"/>
      <c r="CH209" s="1594"/>
      <c r="CI209" s="1594"/>
      <c r="CJ209" s="1594"/>
      <c r="CK209" s="1594"/>
      <c r="CL209" s="1594"/>
      <c r="CM209" s="1594"/>
      <c r="CN209" s="1594"/>
      <c r="CO209" s="1594"/>
      <c r="CP209" s="1594"/>
      <c r="CQ209" s="1594"/>
      <c r="CR209" s="1594"/>
      <c r="CS209" s="1594"/>
      <c r="CT209" s="1594"/>
      <c r="CU209" s="1594"/>
      <c r="CV209" s="1594"/>
      <c r="CW209" s="1594"/>
      <c r="CX209" s="1594"/>
      <c r="CY209" s="1594"/>
      <c r="CZ209" s="1594"/>
    </row>
    <row r="210" spans="1:104" ht="13.5" thickTop="1">
      <c r="A210" s="1584"/>
      <c r="B210" s="1587"/>
      <c r="C210" s="1587"/>
      <c r="D210" s="628"/>
      <c r="E210" s="1587"/>
      <c r="F210" s="628"/>
      <c r="G210" s="1594"/>
      <c r="Q210" s="317"/>
      <c r="R210" s="1594"/>
      <c r="S210" s="1594"/>
      <c r="T210" s="1594"/>
      <c r="U210" s="621"/>
      <c r="V210" s="499"/>
      <c r="W210" s="317"/>
      <c r="X210" s="317"/>
      <c r="Y210" s="317"/>
      <c r="Z210" s="317"/>
      <c r="AA210" s="317"/>
      <c r="AB210" s="1594"/>
      <c r="AC210" s="317"/>
      <c r="AD210" s="1594"/>
      <c r="AE210" s="1594"/>
      <c r="AF210" s="1594"/>
      <c r="AG210" s="1594"/>
      <c r="AH210" s="1594"/>
      <c r="AI210" s="1594"/>
      <c r="AJ210" s="1594"/>
      <c r="AK210" s="1594"/>
      <c r="AL210" s="1594"/>
      <c r="AM210" s="1594"/>
      <c r="AN210" s="1594"/>
      <c r="AO210" s="1594"/>
      <c r="AP210" s="1594"/>
      <c r="AQ210" s="1594"/>
      <c r="AR210" s="1594"/>
      <c r="AS210" s="1594"/>
      <c r="AT210" s="1594"/>
      <c r="AU210" s="1594"/>
      <c r="AV210" s="1594"/>
      <c r="AW210" s="1594"/>
      <c r="AX210" s="1594"/>
      <c r="AY210" s="1594"/>
      <c r="AZ210" s="1594"/>
      <c r="BA210" s="1594"/>
      <c r="BB210" s="1594"/>
      <c r="BC210" s="1594"/>
      <c r="BD210" s="1594"/>
      <c r="BE210" s="1594"/>
      <c r="BF210" s="1594"/>
      <c r="BG210" s="1594"/>
      <c r="BH210" s="1594"/>
      <c r="BI210" s="1594"/>
      <c r="BJ210" s="1594"/>
      <c r="BK210" s="1594"/>
      <c r="BL210" s="1594"/>
      <c r="BM210" s="1594"/>
      <c r="BN210" s="1594"/>
      <c r="BO210" s="1594"/>
      <c r="BP210" s="1594"/>
      <c r="BQ210" s="1594"/>
      <c r="BR210" s="1594"/>
      <c r="BS210" s="1594"/>
      <c r="BT210" s="1594"/>
      <c r="BU210" s="1594"/>
      <c r="BV210" s="1594"/>
      <c r="BW210" s="1594"/>
      <c r="BX210" s="1594"/>
      <c r="BY210" s="1594"/>
      <c r="BZ210" s="1594"/>
      <c r="CA210" s="1594"/>
      <c r="CB210" s="1594"/>
      <c r="CC210" s="1594"/>
      <c r="CD210" s="1594"/>
      <c r="CE210" s="1594"/>
      <c r="CF210" s="1594"/>
      <c r="CG210" s="1594"/>
      <c r="CH210" s="1594"/>
      <c r="CI210" s="1594"/>
      <c r="CJ210" s="1594"/>
      <c r="CK210" s="1594"/>
      <c r="CL210" s="1594"/>
      <c r="CM210" s="1594"/>
      <c r="CN210" s="1594"/>
      <c r="CO210" s="1594"/>
      <c r="CP210" s="1594"/>
      <c r="CQ210" s="1594"/>
      <c r="CR210" s="1594"/>
      <c r="CS210" s="1594"/>
      <c r="CT210" s="1594"/>
      <c r="CU210" s="1594"/>
      <c r="CV210" s="1594"/>
      <c r="CW210" s="1594"/>
      <c r="CX210" s="1594"/>
      <c r="CY210" s="1594"/>
      <c r="CZ210" s="1594"/>
    </row>
    <row r="211" spans="1:104">
      <c r="A211" s="279"/>
      <c r="B211" s="314"/>
      <c r="C211" s="314"/>
      <c r="D211" s="315"/>
      <c r="E211" s="314"/>
      <c r="F211" s="315"/>
      <c r="G211" s="314"/>
      <c r="Q211" s="315"/>
      <c r="R211" s="314"/>
      <c r="S211" s="314"/>
      <c r="T211" s="314"/>
      <c r="U211" s="634"/>
      <c r="V211" s="635"/>
      <c r="W211" s="317"/>
      <c r="X211" s="317"/>
      <c r="Y211" s="317"/>
      <c r="Z211" s="317"/>
      <c r="AA211" s="317"/>
      <c r="AB211" s="1594"/>
      <c r="AC211" s="317"/>
      <c r="AD211" s="1594"/>
      <c r="AE211" s="1594"/>
      <c r="AF211" s="1594"/>
      <c r="AG211" s="1594"/>
      <c r="AH211" s="1594"/>
      <c r="AI211" s="1594"/>
      <c r="AJ211" s="1594"/>
      <c r="AK211" s="1594"/>
      <c r="AL211" s="1594"/>
      <c r="AM211" s="1594"/>
      <c r="AN211" s="1594"/>
      <c r="AO211" s="1594"/>
      <c r="AP211" s="1594"/>
      <c r="AQ211" s="1594"/>
      <c r="AR211" s="1594"/>
      <c r="AS211" s="1594"/>
      <c r="AT211" s="1594"/>
      <c r="AU211" s="1594"/>
      <c r="AV211" s="1594"/>
      <c r="AW211" s="1594"/>
      <c r="AX211" s="1594"/>
      <c r="AY211" s="1594"/>
      <c r="AZ211" s="1594"/>
      <c r="BA211" s="1594"/>
      <c r="BB211" s="1594"/>
      <c r="BC211" s="1594"/>
      <c r="BD211" s="1594"/>
      <c r="BE211" s="1594"/>
      <c r="BF211" s="1594"/>
      <c r="BG211" s="1594"/>
      <c r="BH211" s="1594"/>
      <c r="BI211" s="1594"/>
      <c r="BJ211" s="1594"/>
      <c r="BK211" s="1594"/>
      <c r="BL211" s="1594"/>
      <c r="BM211" s="1594"/>
      <c r="BN211" s="1594"/>
      <c r="BO211" s="1594"/>
      <c r="BP211" s="1594"/>
      <c r="BQ211" s="1594"/>
      <c r="BR211" s="1594"/>
      <c r="BS211" s="1594"/>
      <c r="BT211" s="1594"/>
      <c r="BU211" s="1594"/>
      <c r="BV211" s="1594"/>
      <c r="BW211" s="1594"/>
      <c r="BX211" s="1594"/>
      <c r="BY211" s="1594"/>
      <c r="BZ211" s="1594"/>
      <c r="CA211" s="1594"/>
      <c r="CB211" s="1594"/>
      <c r="CC211" s="1594"/>
      <c r="CD211" s="1594"/>
      <c r="CE211" s="1594"/>
      <c r="CF211" s="1594"/>
      <c r="CG211" s="1594"/>
      <c r="CH211" s="1594"/>
      <c r="CI211" s="1594"/>
      <c r="CJ211" s="1594"/>
      <c r="CK211" s="1594"/>
      <c r="CL211" s="1594"/>
      <c r="CM211" s="1594"/>
      <c r="CN211" s="1594"/>
      <c r="CO211" s="1594"/>
      <c r="CP211" s="1594"/>
      <c r="CQ211" s="1594"/>
      <c r="CR211" s="1594"/>
      <c r="CS211" s="1594"/>
      <c r="CT211" s="1594"/>
      <c r="CU211" s="1594"/>
      <c r="CV211" s="1594"/>
      <c r="CW211" s="1594"/>
      <c r="CX211" s="1594"/>
      <c r="CY211" s="1594"/>
      <c r="CZ211" s="1594"/>
    </row>
    <row r="212" spans="1:104">
      <c r="A212" s="280"/>
      <c r="B212" s="321"/>
      <c r="C212" s="321"/>
      <c r="D212" s="322"/>
      <c r="E212" s="321"/>
      <c r="F212" s="322"/>
      <c r="G212" s="321"/>
      <c r="Q212" s="322"/>
      <c r="R212" s="321"/>
      <c r="S212" s="321"/>
      <c r="T212" s="321"/>
      <c r="U212" s="622"/>
      <c r="V212" s="623"/>
      <c r="W212" s="317"/>
      <c r="X212" s="317"/>
      <c r="Y212" s="317"/>
      <c r="Z212" s="317"/>
      <c r="AA212" s="317"/>
      <c r="AB212" s="1594"/>
      <c r="AC212" s="317"/>
      <c r="AD212" s="1594"/>
      <c r="AE212" s="1594"/>
      <c r="AF212" s="1594"/>
      <c r="AG212" s="1594"/>
      <c r="AH212" s="1594"/>
      <c r="AI212" s="1594"/>
      <c r="AJ212" s="1594"/>
      <c r="AK212" s="1594"/>
      <c r="AL212" s="1594"/>
      <c r="AM212" s="1594"/>
      <c r="AN212" s="1594"/>
      <c r="AO212" s="1594"/>
      <c r="AP212" s="1594"/>
      <c r="AQ212" s="1594"/>
      <c r="AR212" s="1594"/>
      <c r="AS212" s="1594"/>
      <c r="AT212" s="1594"/>
      <c r="AU212" s="1594"/>
      <c r="AV212" s="1594"/>
      <c r="AW212" s="1594"/>
      <c r="AX212" s="1594"/>
      <c r="AY212" s="1594"/>
      <c r="AZ212" s="1594"/>
      <c r="BA212" s="1594"/>
      <c r="BB212" s="1594"/>
      <c r="BC212" s="1594"/>
      <c r="BD212" s="1594"/>
      <c r="BE212" s="1594"/>
      <c r="BF212" s="1594"/>
      <c r="BG212" s="1594"/>
      <c r="BH212" s="1594"/>
      <c r="BI212" s="1594"/>
      <c r="BJ212" s="1594"/>
      <c r="BK212" s="1594"/>
      <c r="BL212" s="1594"/>
      <c r="BM212" s="1594"/>
      <c r="BN212" s="1594"/>
      <c r="BO212" s="1594"/>
      <c r="BP212" s="1594"/>
      <c r="BQ212" s="1594"/>
      <c r="BR212" s="1594"/>
      <c r="BS212" s="1594"/>
      <c r="BT212" s="1594"/>
      <c r="BU212" s="1594"/>
      <c r="BV212" s="1594"/>
      <c r="BW212" s="1594"/>
      <c r="BX212" s="1594"/>
      <c r="BY212" s="1594"/>
      <c r="BZ212" s="1594"/>
      <c r="CA212" s="1594"/>
      <c r="CB212" s="1594"/>
      <c r="CC212" s="1594"/>
      <c r="CD212" s="1594"/>
      <c r="CE212" s="1594"/>
      <c r="CF212" s="1594"/>
      <c r="CG212" s="1594"/>
      <c r="CH212" s="1594"/>
      <c r="CI212" s="1594"/>
      <c r="CJ212" s="1594"/>
      <c r="CK212" s="1594"/>
      <c r="CL212" s="1594"/>
      <c r="CM212" s="1594"/>
      <c r="CN212" s="1594"/>
      <c r="CO212" s="1594"/>
      <c r="CP212" s="1594"/>
      <c r="CQ212" s="1594"/>
      <c r="CR212" s="1594"/>
      <c r="CS212" s="1594"/>
      <c r="CT212" s="1594"/>
      <c r="CU212" s="1594"/>
      <c r="CV212" s="1594"/>
      <c r="CW212" s="1594"/>
      <c r="CX212" s="1594"/>
      <c r="CY212" s="1594"/>
      <c r="CZ212" s="1594"/>
    </row>
    <row r="213" spans="1:104">
      <c r="A213" s="1589">
        <v>25</v>
      </c>
      <c r="B213" s="142" t="s">
        <v>309</v>
      </c>
      <c r="C213" s="1594"/>
      <c r="D213" s="140" t="s">
        <v>2077</v>
      </c>
      <c r="E213" s="1594"/>
      <c r="F213" s="140" t="s">
        <v>1796</v>
      </c>
      <c r="G213" s="1594"/>
      <c r="Q213" s="276" t="s">
        <v>1452</v>
      </c>
      <c r="R213" s="1585"/>
      <c r="S213" s="1585"/>
      <c r="T213" s="1585"/>
      <c r="U213" s="225" t="s">
        <v>1036</v>
      </c>
      <c r="V213" s="499"/>
      <c r="W213" s="317"/>
      <c r="X213" s="317"/>
      <c r="Y213" s="317"/>
      <c r="Z213" s="317"/>
      <c r="AA213" s="317"/>
      <c r="AB213" s="1594"/>
      <c r="AC213" s="317"/>
      <c r="AD213" s="1594"/>
      <c r="AE213" s="1594"/>
      <c r="AF213" s="1594"/>
      <c r="AG213" s="1594"/>
      <c r="AH213" s="1594"/>
      <c r="AI213" s="1594"/>
      <c r="AJ213" s="1594"/>
      <c r="AK213" s="1594"/>
      <c r="AL213" s="1594"/>
      <c r="AM213" s="1594"/>
      <c r="AN213" s="1594"/>
      <c r="AO213" s="1594"/>
      <c r="AP213" s="1594"/>
      <c r="AQ213" s="1594"/>
      <c r="AR213" s="1594"/>
      <c r="AS213" s="1594"/>
      <c r="AT213" s="1594"/>
      <c r="AU213" s="1594"/>
      <c r="AV213" s="1594"/>
      <c r="AW213" s="1594"/>
      <c r="AX213" s="1594"/>
      <c r="AY213" s="1594"/>
      <c r="AZ213" s="1594"/>
      <c r="BA213" s="1594"/>
      <c r="BB213" s="1594"/>
      <c r="BC213" s="1594"/>
      <c r="BD213" s="1594"/>
      <c r="BE213" s="1594"/>
      <c r="BF213" s="1594"/>
      <c r="BG213" s="1594"/>
      <c r="BH213" s="1594"/>
      <c r="BI213" s="1594"/>
      <c r="BJ213" s="1594"/>
      <c r="BK213" s="1594"/>
      <c r="BL213" s="1594"/>
      <c r="BM213" s="1594"/>
      <c r="BN213" s="1594"/>
      <c r="BO213" s="1594"/>
      <c r="BP213" s="1594"/>
      <c r="BQ213" s="1594"/>
      <c r="BR213" s="1594"/>
      <c r="BS213" s="1594"/>
      <c r="BT213" s="1594"/>
      <c r="BU213" s="1594"/>
      <c r="BV213" s="1594"/>
      <c r="BW213" s="1594"/>
      <c r="BX213" s="1594"/>
      <c r="BY213" s="1594"/>
      <c r="BZ213" s="1594"/>
      <c r="CA213" s="1594"/>
      <c r="CB213" s="1594"/>
      <c r="CC213" s="1594"/>
      <c r="CD213" s="1594"/>
      <c r="CE213" s="1594"/>
      <c r="CF213" s="1594"/>
      <c r="CG213" s="1594"/>
      <c r="CH213" s="1594"/>
      <c r="CI213" s="1594"/>
      <c r="CJ213" s="1594"/>
      <c r="CK213" s="1594"/>
      <c r="CL213" s="1594"/>
      <c r="CM213" s="1594"/>
      <c r="CN213" s="1594"/>
      <c r="CO213" s="1594"/>
      <c r="CP213" s="1594"/>
      <c r="CQ213" s="1594"/>
      <c r="CR213" s="1594"/>
      <c r="CS213" s="1594"/>
      <c r="CT213" s="1594"/>
      <c r="CU213" s="1594"/>
      <c r="CV213" s="1594"/>
      <c r="CW213" s="1594"/>
      <c r="CX213" s="1594"/>
      <c r="CY213" s="1594"/>
      <c r="CZ213" s="1594"/>
    </row>
    <row r="214" spans="1:104">
      <c r="A214" s="1584"/>
      <c r="B214" s="1594"/>
      <c r="C214" s="1594"/>
      <c r="D214" s="317"/>
      <c r="E214" s="1594"/>
      <c r="F214" s="317"/>
      <c r="G214" s="1594"/>
      <c r="Q214" s="1191" t="s">
        <v>1314</v>
      </c>
      <c r="R214" s="1585"/>
      <c r="S214" s="1585"/>
      <c r="T214" s="1585"/>
      <c r="U214" s="226" t="s">
        <v>1314</v>
      </c>
      <c r="V214" s="499"/>
      <c r="W214" s="317"/>
      <c r="X214" s="317"/>
      <c r="Y214" s="317"/>
      <c r="Z214" s="317"/>
      <c r="AA214" s="317"/>
      <c r="AB214" s="1594"/>
      <c r="AC214" s="317"/>
      <c r="AD214" s="1594"/>
      <c r="AE214" s="1594"/>
      <c r="AF214" s="1594"/>
      <c r="AG214" s="1594"/>
      <c r="AH214" s="1594"/>
      <c r="AI214" s="1594"/>
      <c r="AJ214" s="1594"/>
      <c r="AK214" s="1594"/>
      <c r="AL214" s="1594"/>
      <c r="AM214" s="1594"/>
      <c r="AN214" s="1594"/>
      <c r="AO214" s="1594"/>
      <c r="AP214" s="1594"/>
      <c r="AQ214" s="1594"/>
      <c r="AR214" s="1594"/>
      <c r="AS214" s="1594"/>
      <c r="AT214" s="1594"/>
      <c r="AU214" s="1594"/>
      <c r="AV214" s="1594"/>
      <c r="AW214" s="1594"/>
      <c r="AX214" s="1594"/>
      <c r="AY214" s="1594"/>
      <c r="AZ214" s="1594"/>
      <c r="BA214" s="1594"/>
      <c r="BB214" s="1594"/>
      <c r="BC214" s="1594"/>
      <c r="BD214" s="1594"/>
      <c r="BE214" s="1594"/>
      <c r="BF214" s="1594"/>
      <c r="BG214" s="1594"/>
      <c r="BH214" s="1594"/>
      <c r="BI214" s="1594"/>
      <c r="BJ214" s="1594"/>
      <c r="BK214" s="1594"/>
      <c r="BL214" s="1594"/>
      <c r="BM214" s="1594"/>
      <c r="BN214" s="1594"/>
      <c r="BO214" s="1594"/>
      <c r="BP214" s="1594"/>
      <c r="BQ214" s="1594"/>
      <c r="BR214" s="1594"/>
      <c r="BS214" s="1594"/>
      <c r="BT214" s="1594"/>
      <c r="BU214" s="1594"/>
      <c r="BV214" s="1594"/>
      <c r="BW214" s="1594"/>
      <c r="BX214" s="1594"/>
      <c r="BY214" s="1594"/>
      <c r="BZ214" s="1594"/>
      <c r="CA214" s="1594"/>
      <c r="CB214" s="1594"/>
      <c r="CC214" s="1594"/>
      <c r="CD214" s="1594"/>
      <c r="CE214" s="1594"/>
      <c r="CF214" s="1594"/>
      <c r="CG214" s="1594"/>
      <c r="CH214" s="1594"/>
      <c r="CI214" s="1594"/>
      <c r="CJ214" s="1594"/>
      <c r="CK214" s="1594"/>
      <c r="CL214" s="1594"/>
      <c r="CM214" s="1594"/>
      <c r="CN214" s="1594"/>
      <c r="CO214" s="1594"/>
      <c r="CP214" s="1594"/>
      <c r="CQ214" s="1594"/>
      <c r="CR214" s="1594"/>
      <c r="CS214" s="1594"/>
      <c r="CT214" s="1594"/>
      <c r="CU214" s="1594"/>
      <c r="CV214" s="1594"/>
      <c r="CW214" s="1594"/>
      <c r="CX214" s="1594"/>
      <c r="CY214" s="1594"/>
      <c r="CZ214" s="1594"/>
    </row>
    <row r="215" spans="1:104">
      <c r="A215" s="1589"/>
      <c r="B215" s="142"/>
      <c r="C215" s="142"/>
      <c r="D215" s="144"/>
      <c r="E215" s="142"/>
      <c r="F215" s="144"/>
      <c r="G215" s="1594"/>
      <c r="Q215" s="317"/>
      <c r="R215" s="1594"/>
      <c r="S215" s="1594"/>
      <c r="T215" s="1594"/>
      <c r="U215" s="621"/>
      <c r="V215" s="499"/>
      <c r="W215" s="317"/>
      <c r="X215" s="317"/>
      <c r="Y215" s="317"/>
      <c r="Z215" s="317"/>
      <c r="AA215" s="317"/>
      <c r="AB215" s="1594"/>
      <c r="AC215" s="317"/>
      <c r="AD215" s="1594"/>
      <c r="AE215" s="1594"/>
      <c r="AF215" s="1594"/>
      <c r="AG215" s="1594"/>
      <c r="AH215" s="1594"/>
      <c r="AI215" s="1594"/>
      <c r="AJ215" s="1594"/>
      <c r="AK215" s="1594"/>
      <c r="AL215" s="1594"/>
      <c r="AM215" s="1594"/>
      <c r="AN215" s="1594"/>
      <c r="AO215" s="1594"/>
      <c r="AP215" s="1594"/>
      <c r="AQ215" s="1594"/>
      <c r="AR215" s="1594"/>
      <c r="AS215" s="1594"/>
      <c r="AT215" s="1594"/>
      <c r="AU215" s="1594"/>
      <c r="AV215" s="1594"/>
      <c r="AW215" s="1594"/>
      <c r="AX215" s="1594"/>
      <c r="AY215" s="1594"/>
      <c r="AZ215" s="1594"/>
      <c r="BA215" s="1594"/>
      <c r="BB215" s="1594"/>
      <c r="BC215" s="1594"/>
      <c r="BD215" s="1594"/>
      <c r="BE215" s="1594"/>
      <c r="BF215" s="1594"/>
      <c r="BG215" s="1594"/>
      <c r="BH215" s="1594"/>
      <c r="BI215" s="1594"/>
      <c r="BJ215" s="1594"/>
      <c r="BK215" s="1594"/>
      <c r="BL215" s="1594"/>
      <c r="BM215" s="1594"/>
      <c r="BN215" s="1594"/>
      <c r="BO215" s="1594"/>
      <c r="BP215" s="1594"/>
      <c r="BQ215" s="1594"/>
      <c r="BR215" s="1594"/>
      <c r="BS215" s="1594"/>
      <c r="BT215" s="1594"/>
      <c r="BU215" s="1594"/>
      <c r="BV215" s="1594"/>
      <c r="BW215" s="1594"/>
      <c r="BX215" s="1594"/>
      <c r="BY215" s="1594"/>
      <c r="BZ215" s="1594"/>
      <c r="CA215" s="1594"/>
      <c r="CB215" s="1594"/>
      <c r="CC215" s="1594"/>
      <c r="CD215" s="1594"/>
      <c r="CE215" s="1594"/>
      <c r="CF215" s="1594"/>
      <c r="CG215" s="1594"/>
      <c r="CH215" s="1594"/>
      <c r="CI215" s="1594"/>
      <c r="CJ215" s="1594"/>
      <c r="CK215" s="1594"/>
      <c r="CL215" s="1594"/>
      <c r="CM215" s="1594"/>
      <c r="CN215" s="1594"/>
      <c r="CO215" s="1594"/>
      <c r="CP215" s="1594"/>
      <c r="CQ215" s="1594"/>
      <c r="CR215" s="1594"/>
      <c r="CS215" s="1594"/>
      <c r="CT215" s="1594"/>
      <c r="CU215" s="1594"/>
      <c r="CV215" s="1594"/>
      <c r="CW215" s="1594"/>
      <c r="CX215" s="1594"/>
      <c r="CY215" s="1594"/>
      <c r="CZ215" s="1594"/>
    </row>
    <row r="216" spans="1:104" ht="13.5" thickBot="1">
      <c r="A216" s="1584"/>
      <c r="B216" s="1595" t="s">
        <v>310</v>
      </c>
      <c r="C216" s="1595"/>
      <c r="D216" s="285">
        <f>'EMPLOYEE COST 1011'!F19+'EMPLOYEE COST 1011'!F38+'EMPLOYEE COST 1011'!F81+'EMPLOYEE COST 1011'!F106+'EMPLOYEE COST 1011'!F120+'EMPLOYEE COST 1011'!F139+'EMPLOYEE COST 1011'!F147+'EMPLOYEE COST 1011'!F155+'EMPLOYEE COST 1011'!F168</f>
        <v>27474714.09</v>
      </c>
      <c r="E216" s="1595"/>
      <c r="F216" s="285">
        <f>'EMPLOYEE COST 1011'!E19+'EMPLOYEE COST 1011'!E38+'EMPLOYEE COST 1011'!E81+'EMPLOYEE COST 1011'!E106+'EMPLOYEE COST 1011'!E120+'EMPLOYEE COST 1011'!E139+'EMPLOYEE COST 1011'!E147+'EMPLOYEE COST 1011'!E155+'EMPLOYEE COST 1011'!E168</f>
        <v>21687549.57</v>
      </c>
      <c r="G216" s="1594"/>
      <c r="Q216" s="136" t="e">
        <f>#REF!+#REF!+#REF!+#REF!+#REF!+#REF!+#REF!+#REF!+#REF!</f>
        <v>#REF!</v>
      </c>
      <c r="R216" s="135"/>
      <c r="S216" s="135"/>
      <c r="T216" s="135"/>
      <c r="U216" s="227" t="e">
        <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BALANCE'!#REF!)+SUM('TRAIL BALANCE'!#REF!)</f>
        <v>#REF!</v>
      </c>
      <c r="V216" s="499"/>
      <c r="W216" s="317"/>
      <c r="X216" s="317"/>
      <c r="Y216" s="317"/>
      <c r="Z216" s="317"/>
      <c r="AA216" s="317"/>
      <c r="AB216" s="1594"/>
      <c r="AC216" s="317"/>
      <c r="AD216" s="1594"/>
      <c r="AE216" s="1594"/>
      <c r="AF216" s="1594"/>
      <c r="AG216" s="1594"/>
      <c r="AH216" s="1594"/>
      <c r="AI216" s="1594"/>
      <c r="AJ216" s="1594"/>
      <c r="AK216" s="1594"/>
      <c r="AL216" s="1594"/>
      <c r="AM216" s="1594"/>
      <c r="AN216" s="1594"/>
      <c r="AO216" s="1594"/>
      <c r="AP216" s="1594"/>
      <c r="AQ216" s="1594"/>
      <c r="AR216" s="1594"/>
      <c r="AS216" s="1594"/>
      <c r="AT216" s="1594"/>
      <c r="AU216" s="1594"/>
      <c r="AV216" s="1594"/>
      <c r="AW216" s="1594"/>
      <c r="AX216" s="1594"/>
      <c r="AY216" s="1594"/>
      <c r="AZ216" s="1594"/>
      <c r="BA216" s="1594"/>
      <c r="BB216" s="1594"/>
      <c r="BC216" s="1594"/>
      <c r="BD216" s="1594"/>
      <c r="BE216" s="1594"/>
      <c r="BF216" s="1594"/>
      <c r="BG216" s="1594"/>
      <c r="BH216" s="1594"/>
      <c r="BI216" s="1594"/>
      <c r="BJ216" s="1594"/>
      <c r="BK216" s="1594"/>
      <c r="BL216" s="1594"/>
      <c r="BM216" s="1594"/>
      <c r="BN216" s="1594"/>
      <c r="BO216" s="1594"/>
      <c r="BP216" s="1594"/>
      <c r="BQ216" s="1594"/>
      <c r="BR216" s="1594"/>
      <c r="BS216" s="1594"/>
      <c r="BT216" s="1594"/>
      <c r="BU216" s="1594"/>
      <c r="BV216" s="1594"/>
      <c r="BW216" s="1594"/>
      <c r="BX216" s="1594"/>
      <c r="BY216" s="1594"/>
      <c r="BZ216" s="1594"/>
      <c r="CA216" s="1594"/>
      <c r="CB216" s="1594"/>
      <c r="CC216" s="1594"/>
      <c r="CD216" s="1594"/>
      <c r="CE216" s="1594"/>
      <c r="CF216" s="1594"/>
      <c r="CG216" s="1594"/>
      <c r="CH216" s="1594"/>
      <c r="CI216" s="1594"/>
      <c r="CJ216" s="1594"/>
      <c r="CK216" s="1594"/>
      <c r="CL216" s="1594"/>
      <c r="CM216" s="1594"/>
      <c r="CN216" s="1594"/>
      <c r="CO216" s="1594"/>
      <c r="CP216" s="1594"/>
      <c r="CQ216" s="1594"/>
      <c r="CR216" s="1594"/>
      <c r="CS216" s="1594"/>
      <c r="CT216" s="1594"/>
      <c r="CU216" s="1594"/>
      <c r="CV216" s="1594"/>
      <c r="CW216" s="1594"/>
      <c r="CX216" s="1594"/>
      <c r="CY216" s="1594"/>
      <c r="CZ216" s="1594"/>
    </row>
    <row r="217" spans="1:104" ht="13.5" thickTop="1">
      <c r="A217" s="1584"/>
      <c r="B217" s="1595"/>
      <c r="C217" s="1595"/>
      <c r="D217" s="325"/>
      <c r="E217" s="1595"/>
      <c r="F217" s="149"/>
      <c r="G217" s="1594"/>
      <c r="Q217" s="136"/>
      <c r="R217" s="135"/>
      <c r="S217" s="135"/>
      <c r="T217" s="135"/>
      <c r="U217" s="227"/>
      <c r="V217" s="499"/>
      <c r="W217" s="317"/>
      <c r="X217" s="317"/>
      <c r="Y217" s="317"/>
      <c r="Z217" s="317"/>
      <c r="AA217" s="317"/>
      <c r="AB217" s="1594"/>
      <c r="AC217" s="317"/>
      <c r="AD217" s="1594"/>
      <c r="AE217" s="1594"/>
      <c r="AF217" s="1594"/>
      <c r="AG217" s="1594"/>
      <c r="AH217" s="1594"/>
      <c r="AI217" s="1594"/>
      <c r="AJ217" s="1594"/>
      <c r="AK217" s="1594"/>
      <c r="AL217" s="1594"/>
      <c r="AM217" s="1594"/>
      <c r="AN217" s="1594"/>
      <c r="AO217" s="1594"/>
      <c r="AP217" s="1594"/>
      <c r="AQ217" s="1594"/>
      <c r="AR217" s="1594"/>
      <c r="AS217" s="1594"/>
      <c r="AT217" s="1594"/>
      <c r="AU217" s="1594"/>
      <c r="AV217" s="1594"/>
      <c r="AW217" s="1594"/>
      <c r="AX217" s="1594"/>
      <c r="AY217" s="1594"/>
      <c r="AZ217" s="1594"/>
      <c r="BA217" s="1594"/>
      <c r="BB217" s="1594"/>
      <c r="BC217" s="1594"/>
      <c r="BD217" s="1594"/>
      <c r="BE217" s="1594"/>
      <c r="BF217" s="1594"/>
      <c r="BG217" s="1594"/>
      <c r="BH217" s="1594"/>
      <c r="BI217" s="1594"/>
      <c r="BJ217" s="1594"/>
      <c r="BK217" s="1594"/>
      <c r="BL217" s="1594"/>
      <c r="BM217" s="1594"/>
      <c r="BN217" s="1594"/>
      <c r="BO217" s="1594"/>
      <c r="BP217" s="1594"/>
      <c r="BQ217" s="1594"/>
      <c r="BR217" s="1594"/>
      <c r="BS217" s="1594"/>
      <c r="BT217" s="1594"/>
      <c r="BU217" s="1594"/>
      <c r="BV217" s="1594"/>
      <c r="BW217" s="1594"/>
      <c r="BX217" s="1594"/>
      <c r="BY217" s="1594"/>
      <c r="BZ217" s="1594"/>
      <c r="CA217" s="1594"/>
      <c r="CB217" s="1594"/>
      <c r="CC217" s="1594"/>
      <c r="CD217" s="1594"/>
      <c r="CE217" s="1594"/>
      <c r="CF217" s="1594"/>
      <c r="CG217" s="1594"/>
      <c r="CH217" s="1594"/>
      <c r="CI217" s="1594"/>
      <c r="CJ217" s="1594"/>
      <c r="CK217" s="1594"/>
      <c r="CL217" s="1594"/>
      <c r="CM217" s="1594"/>
      <c r="CN217" s="1594"/>
      <c r="CO217" s="1594"/>
      <c r="CP217" s="1594"/>
      <c r="CQ217" s="1594"/>
      <c r="CR217" s="1594"/>
      <c r="CS217" s="1594"/>
      <c r="CT217" s="1594"/>
      <c r="CU217" s="1594"/>
      <c r="CV217" s="1594"/>
      <c r="CW217" s="1594"/>
      <c r="CX217" s="1594"/>
      <c r="CY217" s="1594"/>
      <c r="CZ217" s="1594"/>
    </row>
    <row r="218" spans="1:104">
      <c r="A218" s="1584"/>
      <c r="B218" s="1595" t="s">
        <v>311</v>
      </c>
      <c r="C218" s="1595"/>
      <c r="D218" s="286">
        <f>SUM(D219:D224)</f>
        <v>5001264.8899999997</v>
      </c>
      <c r="E218" s="1595"/>
      <c r="F218" s="286">
        <f>SUM(F219:F224)</f>
        <v>3793810.2600000002</v>
      </c>
      <c r="G218" s="1594"/>
      <c r="Q218" s="317" t="e">
        <f>SUM(Q219:Q224)</f>
        <v>#REF!</v>
      </c>
      <c r="R218" s="1594"/>
      <c r="S218" s="1594"/>
      <c r="T218" s="1594"/>
      <c r="U218" s="621" t="e">
        <f>SUM(U219:U224)</f>
        <v>#REF!</v>
      </c>
      <c r="V218" s="499"/>
      <c r="W218" s="317"/>
      <c r="X218" s="317"/>
      <c r="Y218" s="317"/>
      <c r="Z218" s="317"/>
      <c r="AA218" s="317"/>
      <c r="AB218" s="1594"/>
      <c r="AC218" s="317"/>
      <c r="AD218" s="1594"/>
      <c r="AE218" s="1594"/>
      <c r="AF218" s="1594"/>
      <c r="AG218" s="1594"/>
      <c r="AH218" s="1594"/>
      <c r="AI218" s="1594"/>
      <c r="AJ218" s="1594"/>
      <c r="AK218" s="1594"/>
      <c r="AL218" s="1594"/>
      <c r="AM218" s="1594"/>
      <c r="AN218" s="1594"/>
      <c r="AO218" s="1594"/>
      <c r="AP218" s="1594"/>
      <c r="AQ218" s="1594"/>
      <c r="AR218" s="1594"/>
      <c r="AS218" s="1594"/>
      <c r="AT218" s="1594"/>
      <c r="AU218" s="1594"/>
      <c r="AV218" s="1594"/>
      <c r="AW218" s="1594"/>
      <c r="AX218" s="1594"/>
      <c r="AY218" s="1594"/>
      <c r="AZ218" s="1594"/>
      <c r="BA218" s="1594"/>
      <c r="BB218" s="1594"/>
      <c r="BC218" s="1594"/>
      <c r="BD218" s="1594"/>
      <c r="BE218" s="1594"/>
      <c r="BF218" s="1594"/>
      <c r="BG218" s="1594"/>
      <c r="BH218" s="1594"/>
      <c r="BI218" s="1594"/>
      <c r="BJ218" s="1594"/>
      <c r="BK218" s="1594"/>
      <c r="BL218" s="1594"/>
      <c r="BM218" s="1594"/>
      <c r="BN218" s="1594"/>
      <c r="BO218" s="1594"/>
      <c r="BP218" s="1594"/>
      <c r="BQ218" s="1594"/>
      <c r="BR218" s="1594"/>
      <c r="BS218" s="1594"/>
      <c r="BT218" s="1594"/>
      <c r="BU218" s="1594"/>
      <c r="BV218" s="1594"/>
      <c r="BW218" s="1594"/>
      <c r="BX218" s="1594"/>
      <c r="BY218" s="1594"/>
      <c r="BZ218" s="1594"/>
      <c r="CA218" s="1594"/>
      <c r="CB218" s="1594"/>
      <c r="CC218" s="1594"/>
      <c r="CD218" s="1594"/>
      <c r="CE218" s="1594"/>
      <c r="CF218" s="1594"/>
      <c r="CG218" s="1594"/>
      <c r="CH218" s="1594"/>
      <c r="CI218" s="1594"/>
      <c r="CJ218" s="1594"/>
      <c r="CK218" s="1594"/>
      <c r="CL218" s="1594"/>
      <c r="CM218" s="1594"/>
      <c r="CN218" s="1594"/>
      <c r="CO218" s="1594"/>
      <c r="CP218" s="1594"/>
      <c r="CQ218" s="1594"/>
      <c r="CR218" s="1594"/>
      <c r="CS218" s="1594"/>
      <c r="CT218" s="1594"/>
      <c r="CU218" s="1594"/>
      <c r="CV218" s="1594"/>
      <c r="CW218" s="1594"/>
      <c r="CX218" s="1594"/>
      <c r="CY218" s="1594"/>
      <c r="CZ218" s="1594"/>
    </row>
    <row r="219" spans="1:104">
      <c r="A219" s="1584"/>
      <c r="B219" s="1587" t="s">
        <v>312</v>
      </c>
      <c r="C219" s="1587"/>
      <c r="D219" s="543">
        <f>'EMPLOYEE COST 1011'!F137</f>
        <v>3657766.1900000004</v>
      </c>
      <c r="E219" s="1587"/>
      <c r="F219" s="543">
        <f>'EMPLOYEE COST 1011'!E137</f>
        <v>2848138.0600000005</v>
      </c>
      <c r="G219" s="1594"/>
      <c r="Q219" s="624" t="e">
        <f>#REF!</f>
        <v>#REF!</v>
      </c>
      <c r="R219" s="1594"/>
      <c r="S219" s="1594"/>
      <c r="T219" s="1594"/>
      <c r="U219" s="625" t="e">
        <f>SUM('TRAIL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f>
        <v>#REF!</v>
      </c>
      <c r="V219" s="499"/>
      <c r="W219" s="317"/>
      <c r="X219" s="317"/>
      <c r="Y219" s="317"/>
      <c r="Z219" s="317"/>
      <c r="AA219" s="317"/>
      <c r="AB219" s="1594"/>
      <c r="AC219" s="317"/>
      <c r="AD219" s="1594"/>
      <c r="AE219" s="1594"/>
      <c r="AF219" s="1594"/>
      <c r="AG219" s="1594"/>
      <c r="AH219" s="1594"/>
      <c r="AI219" s="1594"/>
      <c r="AJ219" s="1594"/>
      <c r="AK219" s="1594"/>
      <c r="AL219" s="1594"/>
      <c r="AM219" s="1594"/>
      <c r="AN219" s="1594"/>
      <c r="AO219" s="1594"/>
      <c r="AP219" s="1594"/>
      <c r="AQ219" s="1594"/>
      <c r="AR219" s="1594"/>
      <c r="AS219" s="1594"/>
      <c r="AT219" s="1594"/>
      <c r="AU219" s="1594"/>
      <c r="AV219" s="1594"/>
      <c r="AW219" s="1594"/>
      <c r="AX219" s="1594"/>
      <c r="AY219" s="1594"/>
      <c r="AZ219" s="1594"/>
      <c r="BA219" s="1594"/>
      <c r="BB219" s="1594"/>
      <c r="BC219" s="1594"/>
      <c r="BD219" s="1594"/>
      <c r="BE219" s="1594"/>
      <c r="BF219" s="1594"/>
      <c r="BG219" s="1594"/>
      <c r="BH219" s="1594"/>
      <c r="BI219" s="1594"/>
      <c r="BJ219" s="1594"/>
      <c r="BK219" s="1594"/>
      <c r="BL219" s="1594"/>
      <c r="BM219" s="1594"/>
      <c r="BN219" s="1594"/>
      <c r="BO219" s="1594"/>
      <c r="BP219" s="1594"/>
      <c r="BQ219" s="1594"/>
      <c r="BR219" s="1594"/>
      <c r="BS219" s="1594"/>
      <c r="BT219" s="1594"/>
      <c r="BU219" s="1594"/>
      <c r="BV219" s="1594"/>
      <c r="BW219" s="1594"/>
      <c r="BX219" s="1594"/>
      <c r="BY219" s="1594"/>
      <c r="BZ219" s="1594"/>
      <c r="CA219" s="1594"/>
      <c r="CB219" s="1594"/>
      <c r="CC219" s="1594"/>
      <c r="CD219" s="1594"/>
      <c r="CE219" s="1594"/>
      <c r="CF219" s="1594"/>
      <c r="CG219" s="1594"/>
      <c r="CH219" s="1594"/>
      <c r="CI219" s="1594"/>
      <c r="CJ219" s="1594"/>
      <c r="CK219" s="1594"/>
      <c r="CL219" s="1594"/>
      <c r="CM219" s="1594"/>
      <c r="CN219" s="1594"/>
      <c r="CO219" s="1594"/>
      <c r="CP219" s="1594"/>
      <c r="CQ219" s="1594"/>
      <c r="CR219" s="1594"/>
      <c r="CS219" s="1594"/>
      <c r="CT219" s="1594"/>
      <c r="CU219" s="1594"/>
      <c r="CV219" s="1594"/>
      <c r="CW219" s="1594"/>
      <c r="CX219" s="1594"/>
      <c r="CY219" s="1594"/>
      <c r="CZ219" s="1594"/>
    </row>
    <row r="220" spans="1:104">
      <c r="A220" s="1584"/>
      <c r="B220" s="1587" t="s">
        <v>313</v>
      </c>
      <c r="C220" s="1587"/>
      <c r="D220" s="215">
        <f>'EMPLOYEE COST 1011'!F96</f>
        <v>893674.27999999991</v>
      </c>
      <c r="E220" s="1587"/>
      <c r="F220" s="215">
        <f>'EMPLOYEE COST 1011'!E96</f>
        <v>613159.11</v>
      </c>
      <c r="G220" s="1594"/>
      <c r="Q220" s="539" t="e">
        <f>#REF!</f>
        <v>#REF!</v>
      </c>
      <c r="R220" s="1594"/>
      <c r="S220" s="1594"/>
      <c r="T220" s="1594"/>
      <c r="U220" s="626" t="e">
        <f>SUM('TRAIL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f>
        <v>#REF!</v>
      </c>
      <c r="V220" s="499"/>
      <c r="W220" s="317"/>
      <c r="X220" s="317"/>
      <c r="Y220" s="317"/>
      <c r="Z220" s="317"/>
      <c r="AA220" s="317"/>
      <c r="AB220" s="1594"/>
      <c r="AC220" s="317"/>
      <c r="AD220" s="1594"/>
      <c r="AE220" s="1594"/>
      <c r="AF220" s="1594"/>
      <c r="AG220" s="1594"/>
      <c r="AH220" s="1594"/>
      <c r="AI220" s="1594"/>
      <c r="AJ220" s="1594"/>
      <c r="AK220" s="1594"/>
      <c r="AL220" s="1594"/>
      <c r="AM220" s="1594"/>
      <c r="AN220" s="1594"/>
      <c r="AO220" s="1594"/>
      <c r="AP220" s="1594"/>
      <c r="AQ220" s="1594"/>
      <c r="AR220" s="1594"/>
      <c r="AS220" s="1594"/>
      <c r="AT220" s="1594"/>
      <c r="AU220" s="1594"/>
      <c r="AV220" s="1594"/>
      <c r="AW220" s="1594"/>
      <c r="AX220" s="1594"/>
      <c r="AY220" s="1594"/>
      <c r="AZ220" s="1594"/>
      <c r="BA220" s="1594"/>
      <c r="BB220" s="1594"/>
      <c r="BC220" s="1594"/>
      <c r="BD220" s="1594"/>
      <c r="BE220" s="1594"/>
      <c r="BF220" s="1594"/>
      <c r="BG220" s="1594"/>
      <c r="BH220" s="1594"/>
      <c r="BI220" s="1594"/>
      <c r="BJ220" s="1594"/>
      <c r="BK220" s="1594"/>
      <c r="BL220" s="1594"/>
      <c r="BM220" s="1594"/>
      <c r="BN220" s="1594"/>
      <c r="BO220" s="1594"/>
      <c r="BP220" s="1594"/>
      <c r="BQ220" s="1594"/>
      <c r="BR220" s="1594"/>
      <c r="BS220" s="1594"/>
      <c r="BT220" s="1594"/>
      <c r="BU220" s="1594"/>
      <c r="BV220" s="1594"/>
      <c r="BW220" s="1594"/>
      <c r="BX220" s="1594"/>
      <c r="BY220" s="1594"/>
      <c r="BZ220" s="1594"/>
      <c r="CA220" s="1594"/>
      <c r="CB220" s="1594"/>
      <c r="CC220" s="1594"/>
      <c r="CD220" s="1594"/>
      <c r="CE220" s="1594"/>
      <c r="CF220" s="1594"/>
      <c r="CG220" s="1594"/>
      <c r="CH220" s="1594"/>
      <c r="CI220" s="1594"/>
      <c r="CJ220" s="1594"/>
      <c r="CK220" s="1594"/>
      <c r="CL220" s="1594"/>
      <c r="CM220" s="1594"/>
      <c r="CN220" s="1594"/>
      <c r="CO220" s="1594"/>
      <c r="CP220" s="1594"/>
      <c r="CQ220" s="1594"/>
      <c r="CR220" s="1594"/>
      <c r="CS220" s="1594"/>
      <c r="CT220" s="1594"/>
      <c r="CU220" s="1594"/>
      <c r="CV220" s="1594"/>
      <c r="CW220" s="1594"/>
      <c r="CX220" s="1594"/>
      <c r="CY220" s="1594"/>
      <c r="CZ220" s="1594"/>
    </row>
    <row r="221" spans="1:104">
      <c r="A221" s="1584"/>
      <c r="B221" s="1587" t="s">
        <v>314</v>
      </c>
      <c r="C221" s="1587"/>
      <c r="D221" s="215">
        <f>'EMPLOYEE COST 1011'!F54</f>
        <v>160166.93</v>
      </c>
      <c r="E221" s="1587"/>
      <c r="F221" s="215">
        <f>'EMPLOYEE COST 1011'!E54</f>
        <v>108205.34999999999</v>
      </c>
      <c r="G221" s="1594"/>
      <c r="Q221" s="539" t="e">
        <f>#REF!</f>
        <v>#REF!</v>
      </c>
      <c r="R221" s="1594"/>
      <c r="S221" s="1594"/>
      <c r="T221" s="1594"/>
      <c r="U221" s="626" t="e">
        <f>SUM('TRAIL BALANCE'!#REF!+'TRAIL BALANCE'!#REF!+'TRAIL BALANCE'!#REF!+'TRAIL BALANCE'!#REF!+'TRAIL BALANCE'!#REF!+'TRAIL BALANCE'!#REF!+'TRAIL BALANCE'!#REF!+'TRAIL BALANCE'!#REF!+'TRAIL BALANCE'!#REF!+'TRAIL BALANCE'!#REF!+'TRAIL BALANCE'!#REF!+'TRAIL BALANCE'!#REF!+'TRAIL BALANCE'!#REF!+'TRAIL BALANCE'!#REF!+'TRAIL BALANCE'!#REF!+'TRAIL BALANCE'!#REF!)</f>
        <v>#REF!</v>
      </c>
      <c r="V221" s="499"/>
      <c r="W221" s="316" t="s">
        <v>36</v>
      </c>
      <c r="X221" s="317"/>
      <c r="Y221" s="317"/>
      <c r="Z221" s="317"/>
      <c r="AA221" s="317"/>
      <c r="AB221" s="1594"/>
      <c r="AC221" s="317"/>
      <c r="AD221" s="1594"/>
      <c r="AE221" s="1594"/>
      <c r="AF221" s="1594"/>
      <c r="AG221" s="1594"/>
      <c r="AH221" s="1594"/>
      <c r="AI221" s="1594"/>
      <c r="AJ221" s="1594"/>
      <c r="AK221" s="1594"/>
      <c r="AL221" s="1594"/>
      <c r="AM221" s="1594"/>
      <c r="AN221" s="1594"/>
      <c r="AO221" s="1594"/>
      <c r="AP221" s="1594"/>
      <c r="AQ221" s="1594"/>
      <c r="AR221" s="1594"/>
      <c r="AS221" s="1594"/>
      <c r="AT221" s="1594"/>
      <c r="AU221" s="1594"/>
      <c r="AV221" s="1594"/>
      <c r="AW221" s="1594"/>
      <c r="AX221" s="1594"/>
      <c r="AY221" s="1594"/>
      <c r="AZ221" s="1594"/>
      <c r="BA221" s="1594"/>
      <c r="BB221" s="1594"/>
      <c r="BC221" s="1594"/>
      <c r="BD221" s="1594"/>
      <c r="BE221" s="1594"/>
      <c r="BF221" s="1594"/>
      <c r="BG221" s="1594"/>
      <c r="BH221" s="1594"/>
      <c r="BI221" s="1594"/>
      <c r="BJ221" s="1594"/>
      <c r="BK221" s="1594"/>
      <c r="BL221" s="1594"/>
      <c r="BM221" s="1594"/>
      <c r="BN221" s="1594"/>
      <c r="BO221" s="1594"/>
      <c r="BP221" s="1594"/>
      <c r="BQ221" s="1594"/>
      <c r="BR221" s="1594"/>
      <c r="BS221" s="1594"/>
      <c r="BT221" s="1594"/>
      <c r="BU221" s="1594"/>
      <c r="BV221" s="1594"/>
      <c r="BW221" s="1594"/>
      <c r="BX221" s="1594"/>
      <c r="BY221" s="1594"/>
      <c r="BZ221" s="1594"/>
      <c r="CA221" s="1594"/>
      <c r="CB221" s="1594"/>
      <c r="CC221" s="1594"/>
      <c r="CD221" s="1594"/>
      <c r="CE221" s="1594"/>
      <c r="CF221" s="1594"/>
      <c r="CG221" s="1594"/>
      <c r="CH221" s="1594"/>
      <c r="CI221" s="1594"/>
      <c r="CJ221" s="1594"/>
      <c r="CK221" s="1594"/>
      <c r="CL221" s="1594"/>
      <c r="CM221" s="1594"/>
      <c r="CN221" s="1594"/>
      <c r="CO221" s="1594"/>
      <c r="CP221" s="1594"/>
      <c r="CQ221" s="1594"/>
      <c r="CR221" s="1594"/>
      <c r="CS221" s="1594"/>
      <c r="CT221" s="1594"/>
      <c r="CU221" s="1594"/>
      <c r="CV221" s="1594"/>
      <c r="CW221" s="1594"/>
      <c r="CX221" s="1594"/>
      <c r="CY221" s="1594"/>
      <c r="CZ221" s="1594"/>
    </row>
    <row r="222" spans="1:104">
      <c r="A222" s="1584"/>
      <c r="B222" s="1587" t="s">
        <v>315</v>
      </c>
      <c r="C222" s="1587"/>
      <c r="D222" s="215">
        <f>'EMPLOYEE COST 1011'!F64</f>
        <v>87128.56</v>
      </c>
      <c r="E222" s="1587"/>
      <c r="F222" s="215">
        <f>'EMPLOYEE COST 1011'!E64</f>
        <v>71012.170000000013</v>
      </c>
      <c r="G222" s="1594"/>
      <c r="Q222" s="539" t="e">
        <f>#REF!</f>
        <v>#REF!</v>
      </c>
      <c r="R222" s="1594"/>
      <c r="S222" s="1594"/>
      <c r="T222" s="1594"/>
      <c r="U222" s="626" t="e">
        <f>SUM('TRAIL BALANCE'!#REF!+'TRAIL BALANCE'!#REF!+'TRAIL BALANCE'!#REF!+'TRAIL BALANCE'!#REF!+'TRAIL BALANCE'!#REF!+'TRAIL BALANCE'!#REF!+'TRAIL BALANCE'!#REF!+'TRAIL BALANCE'!#REF!+'TRAIL BALANCE'!#REF!+'TRAIL BALANCE'!#REF!+'TRAIL BALANCE'!#REF!+'TRAIL BALANCE'!#REF!+'TRAIL BALANCE'!#REF!+'TRAIL BALANCE'!#REF!)</f>
        <v>#REF!</v>
      </c>
      <c r="V222" s="499"/>
      <c r="W222" s="317"/>
      <c r="X222" s="317"/>
      <c r="Y222" s="317"/>
      <c r="Z222" s="317"/>
      <c r="AA222" s="317"/>
      <c r="AB222" s="1594"/>
      <c r="AC222" s="317"/>
      <c r="AD222" s="1594"/>
      <c r="AE222" s="1594"/>
      <c r="AF222" s="1594"/>
      <c r="AG222" s="1594"/>
      <c r="AH222" s="1594"/>
      <c r="AI222" s="1594"/>
      <c r="AJ222" s="1594"/>
      <c r="AK222" s="1594"/>
      <c r="AL222" s="1594"/>
      <c r="AM222" s="1594"/>
      <c r="AN222" s="1594"/>
      <c r="AO222" s="1594"/>
      <c r="AP222" s="1594"/>
      <c r="AQ222" s="1594"/>
      <c r="AR222" s="1594"/>
      <c r="AS222" s="1594"/>
      <c r="AT222" s="1594"/>
      <c r="AU222" s="1594"/>
      <c r="AV222" s="1594"/>
      <c r="AW222" s="1594"/>
      <c r="AX222" s="1594"/>
      <c r="AY222" s="1594"/>
      <c r="AZ222" s="1594"/>
      <c r="BA222" s="1594"/>
      <c r="BB222" s="1594"/>
      <c r="BC222" s="1594"/>
      <c r="BD222" s="1594"/>
      <c r="BE222" s="1594"/>
      <c r="BF222" s="1594"/>
      <c r="BG222" s="1594"/>
      <c r="BH222" s="1594"/>
      <c r="BI222" s="1594"/>
      <c r="BJ222" s="1594"/>
      <c r="BK222" s="1594"/>
      <c r="BL222" s="1594"/>
      <c r="BM222" s="1594"/>
      <c r="BN222" s="1594"/>
      <c r="BO222" s="1594"/>
      <c r="BP222" s="1594"/>
      <c r="BQ222" s="1594"/>
      <c r="BR222" s="1594"/>
      <c r="BS222" s="1594"/>
      <c r="BT222" s="1594"/>
      <c r="BU222" s="1594"/>
      <c r="BV222" s="1594"/>
      <c r="BW222" s="1594"/>
      <c r="BX222" s="1594"/>
      <c r="BY222" s="1594"/>
      <c r="BZ222" s="1594"/>
      <c r="CA222" s="1594"/>
      <c r="CB222" s="1594"/>
      <c r="CC222" s="1594"/>
      <c r="CD222" s="1594"/>
      <c r="CE222" s="1594"/>
      <c r="CF222" s="1594"/>
      <c r="CG222" s="1594"/>
      <c r="CH222" s="1594"/>
      <c r="CI222" s="1594"/>
      <c r="CJ222" s="1594"/>
      <c r="CK222" s="1594"/>
      <c r="CL222" s="1594"/>
      <c r="CM222" s="1594"/>
      <c r="CN222" s="1594"/>
      <c r="CO222" s="1594"/>
      <c r="CP222" s="1594"/>
      <c r="CQ222" s="1594"/>
      <c r="CR222" s="1594"/>
      <c r="CS222" s="1594"/>
      <c r="CT222" s="1594"/>
      <c r="CU222" s="1594"/>
      <c r="CV222" s="1594"/>
      <c r="CW222" s="1594"/>
      <c r="CX222" s="1594"/>
      <c r="CY222" s="1594"/>
      <c r="CZ222" s="1594"/>
    </row>
    <row r="223" spans="1:104">
      <c r="A223" s="1584"/>
      <c r="B223" s="1587" t="s">
        <v>316</v>
      </c>
      <c r="C223" s="1587"/>
      <c r="D223" s="215">
        <f>'EMPLOYEE COST 1011'!F186</f>
        <v>202528.92999999996</v>
      </c>
      <c r="E223" s="1587"/>
      <c r="F223" s="215">
        <f>'EMPLOYEE COST 1011'!E186</f>
        <v>153295.57</v>
      </c>
      <c r="G223" s="1594"/>
      <c r="Q223" s="539" t="e">
        <f>#REF!</f>
        <v>#REF!</v>
      </c>
      <c r="R223" s="1594"/>
      <c r="S223" s="1594"/>
      <c r="T223" s="1594"/>
      <c r="U223" s="626" t="e">
        <f>SUM('TRAIL BALANCE'!#REF!+'TRAIL BALANCE'!#REF!+'TRAIL BALANCE'!#REF!+'TRAIL BALANCE'!#REF!+'TRAIL BALANCE'!#REF!+'TRAIL BALANCE'!#REF!+'TRAIL BALANCE'!DN238+'TRAIL BALANCE'!#REF!+'TRAIL BALANCE'!#REF!+'TRAIL BALANCE'!#REF!+'TRAIL BALANCE'!#REF!+'TRAIL BALANCE'!#REF!+'TRAIL BALANCE'!#REF!+'TRAIL BALANCE'!#REF!+'TRAIL BALANCE'!#REF!+'TRAIL BALANCE'!#REF!+'TRAIL BALANCE'!#REF!)+791</f>
        <v>#REF!</v>
      </c>
      <c r="V223" s="499"/>
      <c r="W223" s="317" t="s">
        <v>36</v>
      </c>
      <c r="X223" s="317"/>
      <c r="Y223" s="317"/>
      <c r="Z223" s="317"/>
      <c r="AA223" s="317"/>
      <c r="AB223" s="1594"/>
      <c r="AC223" s="317"/>
      <c r="AD223" s="1594"/>
      <c r="AE223" s="1594"/>
      <c r="AF223" s="1594"/>
      <c r="AG223" s="1594"/>
      <c r="AH223" s="1594"/>
      <c r="AI223" s="1594"/>
      <c r="AJ223" s="1594"/>
      <c r="AK223" s="1594"/>
      <c r="AL223" s="1594"/>
      <c r="AM223" s="1594"/>
      <c r="AN223" s="1594"/>
      <c r="AO223" s="1594"/>
      <c r="AP223" s="1594"/>
      <c r="AQ223" s="1594"/>
      <c r="AR223" s="1594"/>
      <c r="AS223" s="1594"/>
      <c r="AT223" s="1594"/>
      <c r="AU223" s="1594"/>
      <c r="AV223" s="1594"/>
      <c r="AW223" s="1594"/>
      <c r="AX223" s="1594"/>
      <c r="AY223" s="1594"/>
      <c r="AZ223" s="1594"/>
      <c r="BA223" s="1594"/>
      <c r="BB223" s="1594"/>
      <c r="BC223" s="1594"/>
      <c r="BD223" s="1594"/>
      <c r="BE223" s="1594"/>
      <c r="BF223" s="1594"/>
      <c r="BG223" s="1594"/>
      <c r="BH223" s="1594"/>
      <c r="BI223" s="1594"/>
      <c r="BJ223" s="1594"/>
      <c r="BK223" s="1594"/>
      <c r="BL223" s="1594"/>
      <c r="BM223" s="1594"/>
      <c r="BN223" s="1594"/>
      <c r="BO223" s="1594"/>
      <c r="BP223" s="1594"/>
      <c r="BQ223" s="1594"/>
      <c r="BR223" s="1594"/>
      <c r="BS223" s="1594"/>
      <c r="BT223" s="1594"/>
      <c r="BU223" s="1594"/>
      <c r="BV223" s="1594"/>
      <c r="BW223" s="1594"/>
      <c r="BX223" s="1594"/>
      <c r="BY223" s="1594"/>
      <c r="BZ223" s="1594"/>
      <c r="CA223" s="1594"/>
      <c r="CB223" s="1594"/>
      <c r="CC223" s="1594"/>
      <c r="CD223" s="1594"/>
      <c r="CE223" s="1594"/>
      <c r="CF223" s="1594"/>
      <c r="CG223" s="1594"/>
      <c r="CH223" s="1594"/>
      <c r="CI223" s="1594"/>
      <c r="CJ223" s="1594"/>
      <c r="CK223" s="1594"/>
      <c r="CL223" s="1594"/>
      <c r="CM223" s="1594"/>
      <c r="CN223" s="1594"/>
      <c r="CO223" s="1594"/>
      <c r="CP223" s="1594"/>
      <c r="CQ223" s="1594"/>
      <c r="CR223" s="1594"/>
      <c r="CS223" s="1594"/>
      <c r="CT223" s="1594"/>
      <c r="CU223" s="1594"/>
      <c r="CV223" s="1594"/>
      <c r="CW223" s="1594"/>
      <c r="CX223" s="1594"/>
      <c r="CY223" s="1594"/>
      <c r="CZ223" s="1594"/>
    </row>
    <row r="224" spans="1:104">
      <c r="A224" s="1584"/>
      <c r="B224" s="1587" t="s">
        <v>818</v>
      </c>
      <c r="C224" s="1587"/>
      <c r="D224" s="545"/>
      <c r="E224" s="1587"/>
      <c r="F224" s="545"/>
      <c r="G224" s="1594"/>
      <c r="Q224" s="563" t="e">
        <f>SUM('TRAIL BALANCE'!#REF!)</f>
        <v>#REF!</v>
      </c>
      <c r="R224" s="1594"/>
      <c r="S224" s="1594"/>
      <c r="T224" s="1594"/>
      <c r="U224" s="648" t="e">
        <f>SUM('TRAIL BALANCE'!#REF!)</f>
        <v>#REF!</v>
      </c>
      <c r="V224" s="499"/>
      <c r="W224" s="317"/>
      <c r="X224" s="317"/>
      <c r="Y224" s="317"/>
      <c r="Z224" s="317"/>
      <c r="AA224" s="317"/>
      <c r="AB224" s="1594"/>
      <c r="AC224" s="317"/>
      <c r="AD224" s="1594"/>
      <c r="AE224" s="1594"/>
      <c r="AF224" s="1594"/>
      <c r="AG224" s="1594"/>
      <c r="AH224" s="1594"/>
      <c r="AI224" s="1594"/>
      <c r="AJ224" s="1594"/>
      <c r="AK224" s="1594"/>
      <c r="AL224" s="1594"/>
      <c r="AM224" s="1594"/>
      <c r="AN224" s="1594"/>
      <c r="AO224" s="1594"/>
      <c r="AP224" s="1594"/>
      <c r="AQ224" s="1594"/>
      <c r="AR224" s="1594"/>
      <c r="AS224" s="1594"/>
      <c r="AT224" s="1594"/>
      <c r="AU224" s="1594"/>
      <c r="AV224" s="1594"/>
      <c r="AW224" s="1594"/>
      <c r="AX224" s="1594"/>
      <c r="AY224" s="1594"/>
      <c r="AZ224" s="1594"/>
      <c r="BA224" s="1594"/>
      <c r="BB224" s="1594"/>
      <c r="BC224" s="1594"/>
      <c r="BD224" s="1594"/>
      <c r="BE224" s="1594"/>
      <c r="BF224" s="1594"/>
      <c r="BG224" s="1594"/>
      <c r="BH224" s="1594"/>
      <c r="BI224" s="1594"/>
      <c r="BJ224" s="1594"/>
      <c r="BK224" s="1594"/>
      <c r="BL224" s="1594"/>
      <c r="BM224" s="1594"/>
      <c r="BN224" s="1594"/>
      <c r="BO224" s="1594"/>
      <c r="BP224" s="1594"/>
      <c r="BQ224" s="1594"/>
      <c r="BR224" s="1594"/>
      <c r="BS224" s="1594"/>
      <c r="BT224" s="1594"/>
      <c r="BU224" s="1594"/>
      <c r="BV224" s="1594"/>
      <c r="BW224" s="1594"/>
      <c r="BX224" s="1594"/>
      <c r="BY224" s="1594"/>
      <c r="BZ224" s="1594"/>
      <c r="CA224" s="1594"/>
      <c r="CB224" s="1594"/>
      <c r="CC224" s="1594"/>
      <c r="CD224" s="1594"/>
      <c r="CE224" s="1594"/>
      <c r="CF224" s="1594"/>
      <c r="CG224" s="1594"/>
      <c r="CH224" s="1594"/>
      <c r="CI224" s="1594"/>
      <c r="CJ224" s="1594"/>
      <c r="CK224" s="1594"/>
      <c r="CL224" s="1594"/>
      <c r="CM224" s="1594"/>
      <c r="CN224" s="1594"/>
      <c r="CO224" s="1594"/>
      <c r="CP224" s="1594"/>
      <c r="CQ224" s="1594"/>
      <c r="CR224" s="1594"/>
      <c r="CS224" s="1594"/>
      <c r="CT224" s="1594"/>
      <c r="CU224" s="1594"/>
      <c r="CV224" s="1594"/>
      <c r="CW224" s="1594"/>
      <c r="CX224" s="1594"/>
      <c r="CY224" s="1594"/>
      <c r="CZ224" s="1594"/>
    </row>
    <row r="225" spans="1:104">
      <c r="A225" s="1584"/>
      <c r="B225" s="1595" t="s">
        <v>819</v>
      </c>
      <c r="C225" s="1595"/>
      <c r="D225" s="325"/>
      <c r="E225" s="1595"/>
      <c r="F225" s="325"/>
      <c r="G225" s="1594"/>
      <c r="Q225" s="317"/>
      <c r="R225" s="1594"/>
      <c r="S225" s="1594"/>
      <c r="T225" s="1594"/>
      <c r="U225" s="621"/>
      <c r="V225" s="499"/>
      <c r="W225" s="317"/>
      <c r="X225" s="317"/>
      <c r="Y225" s="317"/>
      <c r="Z225" s="317"/>
      <c r="AA225" s="317"/>
      <c r="AB225" s="1594"/>
      <c r="AC225" s="317"/>
      <c r="AD225" s="1594"/>
      <c r="AE225" s="1594"/>
      <c r="AF225" s="1594"/>
      <c r="AG225" s="1594"/>
      <c r="AH225" s="1594"/>
      <c r="AI225" s="1594"/>
      <c r="AJ225" s="1594"/>
      <c r="AK225" s="1594"/>
      <c r="AL225" s="1594"/>
      <c r="AM225" s="1594"/>
      <c r="AN225" s="1594"/>
      <c r="AO225" s="1594"/>
      <c r="AP225" s="1594"/>
      <c r="AQ225" s="1594"/>
      <c r="AR225" s="1594"/>
      <c r="AS225" s="1594"/>
      <c r="AT225" s="1594"/>
      <c r="AU225" s="1594"/>
      <c r="AV225" s="1594"/>
      <c r="AW225" s="1594"/>
      <c r="AX225" s="1594"/>
      <c r="AY225" s="1594"/>
      <c r="AZ225" s="1594"/>
      <c r="BA225" s="1594"/>
      <c r="BB225" s="1594"/>
      <c r="BC225" s="1594"/>
      <c r="BD225" s="1594"/>
      <c r="BE225" s="1594"/>
      <c r="BF225" s="1594"/>
      <c r="BG225" s="1594"/>
      <c r="BH225" s="1594"/>
      <c r="BI225" s="1594"/>
      <c r="BJ225" s="1594"/>
      <c r="BK225" s="1594"/>
      <c r="BL225" s="1594"/>
      <c r="BM225" s="1594"/>
      <c r="BN225" s="1594"/>
      <c r="BO225" s="1594"/>
      <c r="BP225" s="1594"/>
      <c r="BQ225" s="1594"/>
      <c r="BR225" s="1594"/>
      <c r="BS225" s="1594"/>
      <c r="BT225" s="1594"/>
      <c r="BU225" s="1594"/>
      <c r="BV225" s="1594"/>
      <c r="BW225" s="1594"/>
      <c r="BX225" s="1594"/>
      <c r="BY225" s="1594"/>
      <c r="BZ225" s="1594"/>
      <c r="CA225" s="1594"/>
      <c r="CB225" s="1594"/>
      <c r="CC225" s="1594"/>
      <c r="CD225" s="1594"/>
      <c r="CE225" s="1594"/>
      <c r="CF225" s="1594"/>
      <c r="CG225" s="1594"/>
      <c r="CH225" s="1594"/>
      <c r="CI225" s="1594"/>
      <c r="CJ225" s="1594"/>
      <c r="CK225" s="1594"/>
      <c r="CL225" s="1594"/>
      <c r="CM225" s="1594"/>
      <c r="CN225" s="1594"/>
      <c r="CO225" s="1594"/>
      <c r="CP225" s="1594"/>
      <c r="CQ225" s="1594"/>
      <c r="CR225" s="1594"/>
      <c r="CS225" s="1594"/>
      <c r="CT225" s="1594"/>
      <c r="CU225" s="1594"/>
      <c r="CV225" s="1594"/>
      <c r="CW225" s="1594"/>
      <c r="CX225" s="1594"/>
      <c r="CY225" s="1594"/>
      <c r="CZ225" s="1594"/>
    </row>
    <row r="226" spans="1:104">
      <c r="A226" s="1584"/>
      <c r="B226" s="1595" t="s">
        <v>820</v>
      </c>
      <c r="C226" s="1595"/>
      <c r="D226" s="325"/>
      <c r="E226" s="1595"/>
      <c r="F226" s="325"/>
      <c r="G226" s="1594"/>
      <c r="Q226" s="317"/>
      <c r="R226" s="1594"/>
      <c r="S226" s="1594"/>
      <c r="T226" s="1594"/>
      <c r="U226" s="621"/>
      <c r="V226" s="499"/>
      <c r="W226" s="317"/>
      <c r="X226" s="317"/>
      <c r="Y226" s="317"/>
      <c r="Z226" s="317"/>
      <c r="AA226" s="317"/>
      <c r="AB226" s="1594"/>
      <c r="AC226" s="317"/>
      <c r="AD226" s="1594"/>
      <c r="AE226" s="1594"/>
      <c r="AF226" s="1594"/>
      <c r="AG226" s="1594"/>
      <c r="AH226" s="1594"/>
      <c r="AI226" s="1594"/>
      <c r="AJ226" s="1594"/>
      <c r="AK226" s="1594"/>
      <c r="AL226" s="1594"/>
      <c r="AM226" s="1594"/>
      <c r="AN226" s="1594"/>
      <c r="AO226" s="1594"/>
      <c r="AP226" s="1594"/>
      <c r="AQ226" s="1594"/>
      <c r="AR226" s="1594"/>
      <c r="AS226" s="1594"/>
      <c r="AT226" s="1594"/>
      <c r="AU226" s="1594"/>
      <c r="AV226" s="1594"/>
      <c r="AW226" s="1594"/>
      <c r="AX226" s="1594"/>
      <c r="AY226" s="1594"/>
      <c r="AZ226" s="1594"/>
      <c r="BA226" s="1594"/>
      <c r="BB226" s="1594"/>
      <c r="BC226" s="1594"/>
      <c r="BD226" s="1594"/>
      <c r="BE226" s="1594"/>
      <c r="BF226" s="1594"/>
      <c r="BG226" s="1594"/>
      <c r="BH226" s="1594"/>
      <c r="BI226" s="1594"/>
      <c r="BJ226" s="1594"/>
      <c r="BK226" s="1594"/>
      <c r="BL226" s="1594"/>
      <c r="BM226" s="1594"/>
      <c r="BN226" s="1594"/>
      <c r="BO226" s="1594"/>
      <c r="BP226" s="1594"/>
      <c r="BQ226" s="1594"/>
      <c r="BR226" s="1594"/>
      <c r="BS226" s="1594"/>
      <c r="BT226" s="1594"/>
      <c r="BU226" s="1594"/>
      <c r="BV226" s="1594"/>
      <c r="BW226" s="1594"/>
      <c r="BX226" s="1594"/>
      <c r="BY226" s="1594"/>
      <c r="BZ226" s="1594"/>
      <c r="CA226" s="1594"/>
      <c r="CB226" s="1594"/>
      <c r="CC226" s="1594"/>
      <c r="CD226" s="1594"/>
      <c r="CE226" s="1594"/>
      <c r="CF226" s="1594"/>
      <c r="CG226" s="1594"/>
      <c r="CH226" s="1594"/>
      <c r="CI226" s="1594"/>
      <c r="CJ226" s="1594"/>
      <c r="CK226" s="1594"/>
      <c r="CL226" s="1594"/>
      <c r="CM226" s="1594"/>
      <c r="CN226" s="1594"/>
      <c r="CO226" s="1594"/>
      <c r="CP226" s="1594"/>
      <c r="CQ226" s="1594"/>
      <c r="CR226" s="1594"/>
      <c r="CS226" s="1594"/>
      <c r="CT226" s="1594"/>
      <c r="CU226" s="1594"/>
      <c r="CV226" s="1594"/>
      <c r="CW226" s="1594"/>
      <c r="CX226" s="1594"/>
      <c r="CY226" s="1594"/>
      <c r="CZ226" s="1594"/>
    </row>
    <row r="227" spans="1:104" ht="13.5" thickBot="1">
      <c r="A227" s="1584"/>
      <c r="B227" s="142" t="s">
        <v>821</v>
      </c>
      <c r="C227" s="142"/>
      <c r="D227" s="143">
        <f>SUM(D225:D226)+D218+D216</f>
        <v>32475978.98</v>
      </c>
      <c r="E227" s="142"/>
      <c r="F227" s="143">
        <f>SUM(F225:F226)+F218+F216</f>
        <v>25481359.830000002</v>
      </c>
      <c r="G227" s="1594"/>
      <c r="Q227" s="143" t="e">
        <f>SUM(Q225:Q226)+Q218+Q216</f>
        <v>#REF!</v>
      </c>
      <c r="R227" s="1594"/>
      <c r="S227" s="1594"/>
      <c r="T227" s="1594"/>
      <c r="U227" s="246" t="e">
        <f>SUM(U225:U226)+U218+U216</f>
        <v>#REF!</v>
      </c>
      <c r="V227" s="499"/>
      <c r="W227" s="317"/>
      <c r="X227" s="317"/>
      <c r="Y227" s="317"/>
      <c r="Z227" s="317"/>
      <c r="AA227" s="317"/>
      <c r="AB227" s="1594"/>
      <c r="AC227" s="317"/>
      <c r="AD227" s="1594"/>
      <c r="AE227" s="1594"/>
      <c r="AF227" s="1594"/>
      <c r="AG227" s="1594"/>
      <c r="AH227" s="1594"/>
      <c r="AI227" s="1594"/>
      <c r="AJ227" s="1594"/>
      <c r="AK227" s="1594"/>
      <c r="AL227" s="1594"/>
      <c r="AM227" s="1594"/>
      <c r="AN227" s="1594"/>
      <c r="AO227" s="1594"/>
      <c r="AP227" s="1594"/>
      <c r="AQ227" s="1594"/>
      <c r="AR227" s="1594"/>
      <c r="AS227" s="1594"/>
      <c r="AT227" s="1594"/>
      <c r="AU227" s="1594"/>
      <c r="AV227" s="1594"/>
      <c r="AW227" s="1594"/>
      <c r="AX227" s="1594"/>
      <c r="AY227" s="1594"/>
      <c r="AZ227" s="1594"/>
      <c r="BA227" s="1594"/>
      <c r="BB227" s="1594"/>
      <c r="BC227" s="1594"/>
      <c r="BD227" s="1594"/>
      <c r="BE227" s="1594"/>
      <c r="BF227" s="1594"/>
      <c r="BG227" s="1594"/>
      <c r="BH227" s="1594"/>
      <c r="BI227" s="1594"/>
      <c r="BJ227" s="1594"/>
      <c r="BK227" s="1594"/>
      <c r="BL227" s="1594"/>
      <c r="BM227" s="1594"/>
      <c r="BN227" s="1594"/>
      <c r="BO227" s="1594"/>
      <c r="BP227" s="1594"/>
      <c r="BQ227" s="1594"/>
      <c r="BR227" s="1594"/>
      <c r="BS227" s="1594"/>
      <c r="BT227" s="1594"/>
      <c r="BU227" s="1594"/>
      <c r="BV227" s="1594"/>
      <c r="BW227" s="1594"/>
      <c r="BX227" s="1594"/>
      <c r="BY227" s="1594"/>
      <c r="BZ227" s="1594"/>
      <c r="CA227" s="1594"/>
      <c r="CB227" s="1594"/>
      <c r="CC227" s="1594"/>
      <c r="CD227" s="1594"/>
      <c r="CE227" s="1594"/>
      <c r="CF227" s="1594"/>
      <c r="CG227" s="1594"/>
      <c r="CH227" s="1594"/>
      <c r="CI227" s="1594"/>
      <c r="CJ227" s="1594"/>
      <c r="CK227" s="1594"/>
      <c r="CL227" s="1594"/>
      <c r="CM227" s="1594"/>
      <c r="CN227" s="1594"/>
      <c r="CO227" s="1594"/>
      <c r="CP227" s="1594"/>
      <c r="CQ227" s="1594"/>
      <c r="CR227" s="1594"/>
      <c r="CS227" s="1594"/>
      <c r="CT227" s="1594"/>
      <c r="CU227" s="1594"/>
      <c r="CV227" s="1594"/>
      <c r="CW227" s="1594"/>
      <c r="CX227" s="1594"/>
      <c r="CY227" s="1594"/>
      <c r="CZ227" s="1594"/>
    </row>
    <row r="228" spans="1:104" ht="13.5" thickTop="1">
      <c r="A228" s="1584"/>
      <c r="B228" s="1594"/>
      <c r="C228" s="1594"/>
      <c r="D228" s="317"/>
      <c r="E228" s="1594"/>
      <c r="F228" s="317"/>
      <c r="G228" s="1594"/>
      <c r="Q228" s="317"/>
      <c r="R228" s="1594"/>
      <c r="S228" s="1594"/>
      <c r="T228" s="1594"/>
      <c r="U228" s="621"/>
      <c r="V228" s="499"/>
      <c r="W228" s="317"/>
      <c r="X228" s="317"/>
      <c r="Y228" s="317"/>
      <c r="Z228" s="317"/>
      <c r="AA228" s="317"/>
      <c r="AB228" s="1594"/>
      <c r="AC228" s="317"/>
      <c r="AD228" s="1594"/>
      <c r="AE228" s="1594"/>
      <c r="AF228" s="1594"/>
      <c r="AG228" s="1594"/>
      <c r="AH228" s="1594"/>
      <c r="AI228" s="1594"/>
      <c r="AJ228" s="1594"/>
      <c r="AK228" s="1594"/>
      <c r="AL228" s="1594"/>
      <c r="AM228" s="1594"/>
      <c r="AN228" s="1594"/>
      <c r="AO228" s="1594"/>
      <c r="AP228" s="1594"/>
      <c r="AQ228" s="1594"/>
      <c r="AR228" s="1594"/>
      <c r="AS228" s="1594"/>
      <c r="AT228" s="1594"/>
      <c r="AU228" s="1594"/>
      <c r="AV228" s="1594"/>
      <c r="AW228" s="1594"/>
      <c r="AX228" s="1594"/>
      <c r="AY228" s="1594"/>
      <c r="AZ228" s="1594"/>
      <c r="BA228" s="1594"/>
      <c r="BB228" s="1594"/>
      <c r="BC228" s="1594"/>
      <c r="BD228" s="1594"/>
      <c r="BE228" s="1594"/>
      <c r="BF228" s="1594"/>
      <c r="BG228" s="1594"/>
      <c r="BH228" s="1594"/>
      <c r="BI228" s="1594"/>
      <c r="BJ228" s="1594"/>
      <c r="BK228" s="1594"/>
      <c r="BL228" s="1594"/>
      <c r="BM228" s="1594"/>
      <c r="BN228" s="1594"/>
      <c r="BO228" s="1594"/>
      <c r="BP228" s="1594"/>
      <c r="BQ228" s="1594"/>
      <c r="BR228" s="1594"/>
      <c r="BS228" s="1594"/>
      <c r="BT228" s="1594"/>
      <c r="BU228" s="1594"/>
      <c r="BV228" s="1594"/>
      <c r="BW228" s="1594"/>
      <c r="BX228" s="1594"/>
      <c r="BY228" s="1594"/>
      <c r="BZ228" s="1594"/>
      <c r="CA228" s="1594"/>
      <c r="CB228" s="1594"/>
      <c r="CC228" s="1594"/>
      <c r="CD228" s="1594"/>
      <c r="CE228" s="1594"/>
      <c r="CF228" s="1594"/>
      <c r="CG228" s="1594"/>
      <c r="CH228" s="1594"/>
      <c r="CI228" s="1594"/>
      <c r="CJ228" s="1594"/>
      <c r="CK228" s="1594"/>
      <c r="CL228" s="1594"/>
      <c r="CM228" s="1594"/>
      <c r="CN228" s="1594"/>
      <c r="CO228" s="1594"/>
      <c r="CP228" s="1594"/>
      <c r="CQ228" s="1594"/>
      <c r="CR228" s="1594"/>
      <c r="CS228" s="1594"/>
      <c r="CT228" s="1594"/>
      <c r="CU228" s="1594"/>
      <c r="CV228" s="1594"/>
      <c r="CW228" s="1594"/>
      <c r="CX228" s="1594"/>
      <c r="CY228" s="1594"/>
      <c r="CZ228" s="1594"/>
    </row>
    <row r="229" spans="1:104">
      <c r="A229" s="1584"/>
      <c r="B229" s="1585"/>
      <c r="C229" s="1585"/>
      <c r="D229" s="1191"/>
      <c r="E229" s="1585"/>
      <c r="F229" s="1191"/>
      <c r="G229" s="1585"/>
      <c r="H229" s="184"/>
      <c r="I229" s="1585"/>
      <c r="J229" s="1585"/>
      <c r="K229" s="1585"/>
      <c r="L229" s="1585"/>
      <c r="M229" s="1585"/>
      <c r="N229" s="1585"/>
      <c r="O229" s="1585"/>
      <c r="P229" s="1585"/>
      <c r="Q229" s="1594"/>
      <c r="R229" s="1594"/>
      <c r="S229" s="1594"/>
      <c r="T229" s="1594"/>
      <c r="U229" s="650"/>
      <c r="V229" s="499"/>
      <c r="W229" s="317"/>
      <c r="X229" s="317"/>
      <c r="Y229" s="317"/>
      <c r="Z229" s="317"/>
      <c r="AA229" s="317"/>
      <c r="AB229" s="1594"/>
      <c r="AC229" s="317"/>
      <c r="AD229" s="1594"/>
      <c r="AE229" s="1594"/>
      <c r="AF229" s="1594"/>
      <c r="AG229" s="1594"/>
      <c r="AH229" s="1594"/>
      <c r="AI229" s="1594"/>
      <c r="AJ229" s="1594"/>
      <c r="AK229" s="1594"/>
      <c r="AL229" s="1594"/>
      <c r="AM229" s="1594"/>
      <c r="AN229" s="1594"/>
      <c r="AO229" s="1594"/>
      <c r="AP229" s="1594"/>
      <c r="AQ229" s="1594"/>
      <c r="AR229" s="1594"/>
      <c r="AS229" s="1594"/>
      <c r="AT229" s="1594"/>
      <c r="AU229" s="1594"/>
      <c r="AV229" s="1594"/>
      <c r="AW229" s="1594"/>
      <c r="AX229" s="1594"/>
      <c r="AY229" s="1594"/>
      <c r="AZ229" s="1594"/>
      <c r="BA229" s="1594"/>
      <c r="BB229" s="1594"/>
      <c r="BC229" s="1594"/>
      <c r="BD229" s="1594"/>
      <c r="BE229" s="1594"/>
      <c r="BF229" s="1594"/>
      <c r="BG229" s="1594"/>
      <c r="BH229" s="1594"/>
      <c r="BI229" s="1594"/>
      <c r="BJ229" s="1594"/>
      <c r="BK229" s="1594"/>
      <c r="BL229" s="1594"/>
      <c r="BM229" s="1594"/>
      <c r="BN229" s="1594"/>
      <c r="BO229" s="1594"/>
      <c r="BP229" s="1594"/>
      <c r="BQ229" s="1594"/>
      <c r="BR229" s="1594"/>
      <c r="BS229" s="1594"/>
      <c r="BT229" s="1594"/>
      <c r="BU229" s="1594"/>
      <c r="BV229" s="1594"/>
      <c r="BW229" s="1594"/>
      <c r="BX229" s="1594"/>
      <c r="BY229" s="1594"/>
      <c r="BZ229" s="1594"/>
      <c r="CA229" s="1594"/>
      <c r="CB229" s="1594"/>
      <c r="CC229" s="1594"/>
      <c r="CD229" s="1594"/>
      <c r="CE229" s="1594"/>
      <c r="CF229" s="1594"/>
      <c r="CG229" s="1594"/>
      <c r="CH229" s="1594"/>
      <c r="CI229" s="1594"/>
      <c r="CJ229" s="1594"/>
      <c r="CK229" s="1594"/>
      <c r="CL229" s="1594"/>
      <c r="CM229" s="1594"/>
      <c r="CN229" s="1594"/>
      <c r="CO229" s="1594"/>
      <c r="CP229" s="1594"/>
      <c r="CQ229" s="1594"/>
      <c r="CR229" s="1594"/>
      <c r="CS229" s="1594"/>
      <c r="CT229" s="1594"/>
      <c r="CU229" s="1594"/>
      <c r="CV229" s="1594"/>
      <c r="CW229" s="1594"/>
      <c r="CX229" s="1594"/>
      <c r="CY229" s="1594"/>
      <c r="CZ229" s="1594"/>
    </row>
    <row r="230" spans="1:104">
      <c r="A230" s="1584"/>
      <c r="B230" s="150" t="s">
        <v>822</v>
      </c>
      <c r="C230" s="150"/>
      <c r="D230" s="151"/>
      <c r="E230" s="150"/>
      <c r="F230" s="151"/>
      <c r="G230" s="1595"/>
      <c r="H230" s="241"/>
      <c r="I230" s="1595"/>
      <c r="J230" s="1595"/>
      <c r="K230" s="1595"/>
      <c r="L230" s="1595"/>
      <c r="M230" s="1595"/>
      <c r="N230" s="1595"/>
      <c r="O230" s="1595"/>
      <c r="P230" s="1595"/>
      <c r="Q230" s="317"/>
      <c r="R230" s="1594"/>
      <c r="S230" s="1594"/>
      <c r="T230" s="1594"/>
      <c r="U230" s="621"/>
      <c r="V230" s="499"/>
      <c r="W230" s="317"/>
      <c r="X230" s="317"/>
      <c r="Y230" s="317"/>
      <c r="Z230" s="317"/>
      <c r="AA230" s="317"/>
      <c r="AB230" s="1594"/>
      <c r="AC230" s="317"/>
      <c r="AD230" s="1594"/>
      <c r="AE230" s="1594"/>
      <c r="AF230" s="1594"/>
      <c r="AG230" s="1594"/>
      <c r="AH230" s="1594"/>
      <c r="AI230" s="1594"/>
      <c r="AJ230" s="1594"/>
      <c r="AK230" s="1594"/>
      <c r="AL230" s="1594"/>
      <c r="AM230" s="1594"/>
      <c r="AN230" s="1594"/>
      <c r="AO230" s="1594"/>
      <c r="AP230" s="1594"/>
      <c r="AQ230" s="1594"/>
      <c r="AR230" s="1594"/>
      <c r="AS230" s="1594"/>
      <c r="AT230" s="1594"/>
      <c r="AU230" s="1594"/>
      <c r="AV230" s="1594"/>
      <c r="AW230" s="1594"/>
      <c r="AX230" s="1594"/>
      <c r="AY230" s="1594"/>
      <c r="AZ230" s="1594"/>
      <c r="BA230" s="1594"/>
      <c r="BB230" s="1594"/>
      <c r="BC230" s="1594"/>
      <c r="BD230" s="1594"/>
      <c r="BE230" s="1594"/>
      <c r="BF230" s="1594"/>
      <c r="BG230" s="1594"/>
      <c r="BH230" s="1594"/>
      <c r="BI230" s="1594"/>
      <c r="BJ230" s="1594"/>
      <c r="BK230" s="1594"/>
      <c r="BL230" s="1594"/>
      <c r="BM230" s="1594"/>
      <c r="BN230" s="1594"/>
      <c r="BO230" s="1594"/>
      <c r="BP230" s="1594"/>
      <c r="BQ230" s="1594"/>
      <c r="BR230" s="1594"/>
      <c r="BS230" s="1594"/>
      <c r="BT230" s="1594"/>
      <c r="BU230" s="1594"/>
      <c r="BV230" s="1594"/>
      <c r="BW230" s="1594"/>
      <c r="BX230" s="1594"/>
      <c r="BY230" s="1594"/>
      <c r="BZ230" s="1594"/>
      <c r="CA230" s="1594"/>
      <c r="CB230" s="1594"/>
      <c r="CC230" s="1594"/>
      <c r="CD230" s="1594"/>
      <c r="CE230" s="1594"/>
      <c r="CF230" s="1594"/>
      <c r="CG230" s="1594"/>
      <c r="CH230" s="1594"/>
      <c r="CI230" s="1594"/>
      <c r="CJ230" s="1594"/>
      <c r="CK230" s="1594"/>
      <c r="CL230" s="1594"/>
      <c r="CM230" s="1594"/>
      <c r="CN230" s="1594"/>
      <c r="CO230" s="1594"/>
      <c r="CP230" s="1594"/>
      <c r="CQ230" s="1594"/>
      <c r="CR230" s="1594"/>
      <c r="CS230" s="1594"/>
      <c r="CT230" s="1594"/>
      <c r="CU230" s="1594"/>
      <c r="CV230" s="1594"/>
      <c r="CW230" s="1594"/>
      <c r="CX230" s="1594"/>
      <c r="CY230" s="1594"/>
      <c r="CZ230" s="1594"/>
    </row>
    <row r="231" spans="1:104" ht="13.5" thickBot="1">
      <c r="A231" s="1584"/>
      <c r="B231" s="150" t="s">
        <v>823</v>
      </c>
      <c r="C231" s="150"/>
      <c r="D231" s="154">
        <f>SUM(D233:D237)</f>
        <v>1039648</v>
      </c>
      <c r="E231" s="150"/>
      <c r="F231" s="154">
        <f>SUM(F233:F237)</f>
        <v>932621</v>
      </c>
      <c r="G231" s="1595"/>
      <c r="H231" s="241"/>
      <c r="I231" s="1595"/>
      <c r="J231" s="1595"/>
      <c r="K231" s="1595"/>
      <c r="L231" s="1595"/>
      <c r="M231" s="1595"/>
      <c r="N231" s="1595"/>
      <c r="O231" s="1595"/>
      <c r="P231" s="1595"/>
      <c r="Q231" s="317">
        <f>SUM(Q233:Q237)</f>
        <v>834772</v>
      </c>
      <c r="R231" s="1594"/>
      <c r="S231" s="1594"/>
      <c r="T231" s="1594"/>
      <c r="U231" s="621">
        <f>SUM(U233:U237)</f>
        <v>803803</v>
      </c>
      <c r="V231" s="499"/>
      <c r="W231" s="317"/>
      <c r="X231" s="317"/>
      <c r="Y231" s="317"/>
      <c r="Z231" s="317"/>
      <c r="AA231" s="317"/>
      <c r="AB231" s="1594"/>
      <c r="AC231" s="317"/>
      <c r="AD231" s="1594"/>
      <c r="AE231" s="1594"/>
      <c r="AF231" s="1594"/>
      <c r="AG231" s="1594"/>
      <c r="AH231" s="1594"/>
      <c r="AI231" s="1594"/>
      <c r="AJ231" s="1594"/>
      <c r="AK231" s="1594"/>
      <c r="AL231" s="1594"/>
      <c r="AM231" s="1594"/>
      <c r="AN231" s="1594"/>
      <c r="AO231" s="1594"/>
      <c r="AP231" s="1594"/>
      <c r="AQ231" s="1594"/>
      <c r="AR231" s="1594"/>
      <c r="AS231" s="1594"/>
      <c r="AT231" s="1594"/>
      <c r="AU231" s="1594"/>
      <c r="AV231" s="1594"/>
      <c r="AW231" s="1594"/>
      <c r="AX231" s="1594"/>
      <c r="AY231" s="1594"/>
      <c r="AZ231" s="1594"/>
      <c r="BA231" s="1594"/>
      <c r="BB231" s="1594"/>
      <c r="BC231" s="1594"/>
      <c r="BD231" s="1594"/>
      <c r="BE231" s="1594"/>
      <c r="BF231" s="1594"/>
      <c r="BG231" s="1594"/>
      <c r="BH231" s="1594"/>
      <c r="BI231" s="1594"/>
      <c r="BJ231" s="1594"/>
      <c r="BK231" s="1594"/>
      <c r="BL231" s="1594"/>
      <c r="BM231" s="1594"/>
      <c r="BN231" s="1594"/>
      <c r="BO231" s="1594"/>
      <c r="BP231" s="1594"/>
      <c r="BQ231" s="1594"/>
      <c r="BR231" s="1594"/>
      <c r="BS231" s="1594"/>
      <c r="BT231" s="1594"/>
      <c r="BU231" s="1594"/>
      <c r="BV231" s="1594"/>
      <c r="BW231" s="1594"/>
      <c r="BX231" s="1594"/>
      <c r="BY231" s="1594"/>
      <c r="BZ231" s="1594"/>
      <c r="CA231" s="1594"/>
      <c r="CB231" s="1594"/>
      <c r="CC231" s="1594"/>
      <c r="CD231" s="1594"/>
      <c r="CE231" s="1594"/>
      <c r="CF231" s="1594"/>
      <c r="CG231" s="1594"/>
      <c r="CH231" s="1594"/>
      <c r="CI231" s="1594"/>
      <c r="CJ231" s="1594"/>
      <c r="CK231" s="1594"/>
      <c r="CL231" s="1594"/>
      <c r="CM231" s="1594"/>
      <c r="CN231" s="1594"/>
      <c r="CO231" s="1594"/>
      <c r="CP231" s="1594"/>
      <c r="CQ231" s="1594"/>
      <c r="CR231" s="1594"/>
      <c r="CS231" s="1594"/>
      <c r="CT231" s="1594"/>
      <c r="CU231" s="1594"/>
      <c r="CV231" s="1594"/>
      <c r="CW231" s="1594"/>
      <c r="CX231" s="1594"/>
      <c r="CY231" s="1594"/>
      <c r="CZ231" s="1594"/>
    </row>
    <row r="232" spans="1:104" ht="13.5" thickTop="1">
      <c r="A232" s="1584"/>
      <c r="B232" s="150"/>
      <c r="C232" s="150"/>
      <c r="D232" s="151"/>
      <c r="E232" s="150"/>
      <c r="F232" s="151"/>
      <c r="G232" s="1595"/>
      <c r="H232" s="241"/>
      <c r="I232" s="1595"/>
      <c r="J232" s="1595"/>
      <c r="K232" s="1595"/>
      <c r="L232" s="1595"/>
      <c r="M232" s="1595"/>
      <c r="N232" s="1595"/>
      <c r="O232" s="1595"/>
      <c r="P232" s="1595"/>
      <c r="Q232" s="317"/>
      <c r="R232" s="1594"/>
      <c r="S232" s="1594"/>
      <c r="T232" s="1594"/>
      <c r="U232" s="621"/>
      <c r="V232" s="499"/>
      <c r="W232" s="317"/>
      <c r="X232" s="317"/>
      <c r="Y232" s="317"/>
      <c r="Z232" s="317"/>
      <c r="AA232" s="317"/>
      <c r="AB232" s="1594"/>
      <c r="AC232" s="317"/>
      <c r="AD232" s="1594"/>
      <c r="AE232" s="1594"/>
      <c r="AF232" s="1594"/>
      <c r="AG232" s="1594"/>
      <c r="AH232" s="1594"/>
      <c r="AI232" s="1594"/>
      <c r="AJ232" s="1594"/>
      <c r="AK232" s="1594"/>
      <c r="AL232" s="1594"/>
      <c r="AM232" s="1594"/>
      <c r="AN232" s="1594"/>
      <c r="AO232" s="1594"/>
      <c r="AP232" s="1594"/>
      <c r="AQ232" s="1594"/>
      <c r="AR232" s="1594"/>
      <c r="AS232" s="1594"/>
      <c r="AT232" s="1594"/>
      <c r="AU232" s="1594"/>
      <c r="AV232" s="1594"/>
      <c r="AW232" s="1594"/>
      <c r="AX232" s="1594"/>
      <c r="AY232" s="1594"/>
      <c r="AZ232" s="1594"/>
      <c r="BA232" s="1594"/>
      <c r="BB232" s="1594"/>
      <c r="BC232" s="1594"/>
      <c r="BD232" s="1594"/>
      <c r="BE232" s="1594"/>
      <c r="BF232" s="1594"/>
      <c r="BG232" s="1594"/>
      <c r="BH232" s="1594"/>
      <c r="BI232" s="1594"/>
      <c r="BJ232" s="1594"/>
      <c r="BK232" s="1594"/>
      <c r="BL232" s="1594"/>
      <c r="BM232" s="1594"/>
      <c r="BN232" s="1594"/>
      <c r="BO232" s="1594"/>
      <c r="BP232" s="1594"/>
      <c r="BQ232" s="1594"/>
      <c r="BR232" s="1594"/>
      <c r="BS232" s="1594"/>
      <c r="BT232" s="1594"/>
      <c r="BU232" s="1594"/>
      <c r="BV232" s="1594"/>
      <c r="BW232" s="1594"/>
      <c r="BX232" s="1594"/>
      <c r="BY232" s="1594"/>
      <c r="BZ232" s="1594"/>
      <c r="CA232" s="1594"/>
      <c r="CB232" s="1594"/>
      <c r="CC232" s="1594"/>
      <c r="CD232" s="1594"/>
      <c r="CE232" s="1594"/>
      <c r="CF232" s="1594"/>
      <c r="CG232" s="1594"/>
      <c r="CH232" s="1594"/>
      <c r="CI232" s="1594"/>
      <c r="CJ232" s="1594"/>
      <c r="CK232" s="1594"/>
      <c r="CL232" s="1594"/>
      <c r="CM232" s="1594"/>
      <c r="CN232" s="1594"/>
      <c r="CO232" s="1594"/>
      <c r="CP232" s="1594"/>
      <c r="CQ232" s="1594"/>
      <c r="CR232" s="1594"/>
      <c r="CS232" s="1594"/>
      <c r="CT232" s="1594"/>
      <c r="CU232" s="1594"/>
      <c r="CV232" s="1594"/>
      <c r="CW232" s="1594"/>
      <c r="CX232" s="1594"/>
      <c r="CY232" s="1594"/>
      <c r="CZ232" s="1594"/>
    </row>
    <row r="233" spans="1:104">
      <c r="A233" s="1584"/>
      <c r="B233" s="1587" t="s">
        <v>824</v>
      </c>
      <c r="C233" s="1587"/>
      <c r="D233" s="630">
        <v>809084</v>
      </c>
      <c r="E233" s="1587"/>
      <c r="F233" s="543">
        <v>697555</v>
      </c>
      <c r="G233" s="1595"/>
      <c r="H233" s="241"/>
      <c r="I233" s="1595"/>
      <c r="J233" s="1595"/>
      <c r="K233" s="1595"/>
      <c r="L233" s="1595"/>
      <c r="M233" s="1595"/>
      <c r="N233" s="1595"/>
      <c r="O233" s="1595"/>
      <c r="P233" s="1595"/>
      <c r="Q233" s="624">
        <v>592733</v>
      </c>
      <c r="R233" s="1594"/>
      <c r="S233" s="1594"/>
      <c r="T233" s="1594"/>
      <c r="U233" s="625">
        <v>523025</v>
      </c>
      <c r="V233" s="499"/>
      <c r="W233" s="317"/>
      <c r="X233" s="317"/>
      <c r="Y233" s="317"/>
      <c r="Z233" s="317"/>
      <c r="AA233" s="317"/>
      <c r="AB233" s="1594"/>
      <c r="AC233" s="317"/>
      <c r="AD233" s="1594"/>
      <c r="AE233" s="1594"/>
      <c r="AF233" s="1594"/>
      <c r="AG233" s="1594"/>
      <c r="AH233" s="1594"/>
      <c r="AI233" s="1594"/>
      <c r="AJ233" s="1594"/>
      <c r="AK233" s="1594"/>
      <c r="AL233" s="1594"/>
      <c r="AM233" s="1594"/>
      <c r="AN233" s="1594"/>
      <c r="AO233" s="1594"/>
      <c r="AP233" s="1594"/>
      <c r="AQ233" s="1594"/>
      <c r="AR233" s="1594"/>
      <c r="AS233" s="1594"/>
      <c r="AT233" s="1594"/>
      <c r="AU233" s="1594"/>
      <c r="AV233" s="1594"/>
      <c r="AW233" s="1594"/>
      <c r="AX233" s="1594"/>
      <c r="AY233" s="1594"/>
      <c r="AZ233" s="1594"/>
      <c r="BA233" s="1594"/>
      <c r="BB233" s="1594"/>
      <c r="BC233" s="1594"/>
      <c r="BD233" s="1594"/>
      <c r="BE233" s="1594"/>
      <c r="BF233" s="1594"/>
      <c r="BG233" s="1594"/>
      <c r="BH233" s="1594"/>
      <c r="BI233" s="1594"/>
      <c r="BJ233" s="1594"/>
      <c r="BK233" s="1594"/>
      <c r="BL233" s="1594"/>
      <c r="BM233" s="1594"/>
      <c r="BN233" s="1594"/>
      <c r="BO233" s="1594"/>
      <c r="BP233" s="1594"/>
      <c r="BQ233" s="1594"/>
      <c r="BR233" s="1594"/>
      <c r="BS233" s="1594"/>
      <c r="BT233" s="1594"/>
      <c r="BU233" s="1594"/>
      <c r="BV233" s="1594"/>
      <c r="BW233" s="1594"/>
      <c r="BX233" s="1594"/>
      <c r="BY233" s="1594"/>
      <c r="BZ233" s="1594"/>
      <c r="CA233" s="1594"/>
      <c r="CB233" s="1594"/>
      <c r="CC233" s="1594"/>
      <c r="CD233" s="1594"/>
      <c r="CE233" s="1594"/>
      <c r="CF233" s="1594"/>
      <c r="CG233" s="1594"/>
      <c r="CH233" s="1594"/>
      <c r="CI233" s="1594"/>
      <c r="CJ233" s="1594"/>
      <c r="CK233" s="1594"/>
      <c r="CL233" s="1594"/>
      <c r="CM233" s="1594"/>
      <c r="CN233" s="1594"/>
      <c r="CO233" s="1594"/>
      <c r="CP233" s="1594"/>
      <c r="CQ233" s="1594"/>
      <c r="CR233" s="1594"/>
      <c r="CS233" s="1594"/>
      <c r="CT233" s="1594"/>
      <c r="CU233" s="1594"/>
      <c r="CV233" s="1594"/>
      <c r="CW233" s="1594"/>
      <c r="CX233" s="1594"/>
      <c r="CY233" s="1594"/>
      <c r="CZ233" s="1594"/>
    </row>
    <row r="234" spans="1:104">
      <c r="A234" s="1584"/>
      <c r="B234" s="1587" t="s">
        <v>1337</v>
      </c>
      <c r="C234" s="1587"/>
      <c r="D234" s="632">
        <v>96000</v>
      </c>
      <c r="E234" s="1587"/>
      <c r="F234" s="215">
        <v>156000</v>
      </c>
      <c r="G234" s="1595"/>
      <c r="H234" s="241"/>
      <c r="I234" s="1595"/>
      <c r="J234" s="1595"/>
      <c r="K234" s="1595"/>
      <c r="L234" s="1595"/>
      <c r="M234" s="1595"/>
      <c r="N234" s="1595"/>
      <c r="O234" s="1595"/>
      <c r="P234" s="1595"/>
      <c r="Q234" s="539">
        <v>156000</v>
      </c>
      <c r="R234" s="1594"/>
      <c r="S234" s="1594"/>
      <c r="T234" s="1594"/>
      <c r="U234" s="626">
        <v>162000</v>
      </c>
      <c r="V234" s="499"/>
      <c r="W234" s="317"/>
      <c r="X234" s="317"/>
      <c r="Y234" s="317"/>
      <c r="Z234" s="317"/>
      <c r="AA234" s="317"/>
      <c r="AB234" s="1594"/>
      <c r="AC234" s="317"/>
      <c r="AD234" s="1594"/>
      <c r="AE234" s="1594"/>
      <c r="AF234" s="1594"/>
      <c r="AG234" s="1594"/>
      <c r="AH234" s="1594"/>
      <c r="AI234" s="1594"/>
      <c r="AJ234" s="1594"/>
      <c r="AK234" s="1594"/>
      <c r="AL234" s="1594"/>
      <c r="AM234" s="1594"/>
      <c r="AN234" s="1594"/>
      <c r="AO234" s="1594"/>
      <c r="AP234" s="1594"/>
      <c r="AQ234" s="1594"/>
      <c r="AR234" s="1594"/>
      <c r="AS234" s="1594"/>
      <c r="AT234" s="1594"/>
      <c r="AU234" s="1594"/>
      <c r="AV234" s="1594"/>
      <c r="AW234" s="1594"/>
      <c r="AX234" s="1594"/>
      <c r="AY234" s="1594"/>
      <c r="AZ234" s="1594"/>
      <c r="BA234" s="1594"/>
      <c r="BB234" s="1594"/>
      <c r="BC234" s="1594"/>
      <c r="BD234" s="1594"/>
      <c r="BE234" s="1594"/>
      <c r="BF234" s="1594"/>
      <c r="BG234" s="1594"/>
      <c r="BH234" s="1594"/>
      <c r="BI234" s="1594"/>
      <c r="BJ234" s="1594"/>
      <c r="BK234" s="1594"/>
      <c r="BL234" s="1594"/>
      <c r="BM234" s="1594"/>
      <c r="BN234" s="1594"/>
      <c r="BO234" s="1594"/>
      <c r="BP234" s="1594"/>
      <c r="BQ234" s="1594"/>
      <c r="BR234" s="1594"/>
      <c r="BS234" s="1594"/>
      <c r="BT234" s="1594"/>
      <c r="BU234" s="1594"/>
      <c r="BV234" s="1594"/>
      <c r="BW234" s="1594"/>
      <c r="BX234" s="1594"/>
      <c r="BY234" s="1594"/>
      <c r="BZ234" s="1594"/>
      <c r="CA234" s="1594"/>
      <c r="CB234" s="1594"/>
      <c r="CC234" s="1594"/>
      <c r="CD234" s="1594"/>
      <c r="CE234" s="1594"/>
      <c r="CF234" s="1594"/>
      <c r="CG234" s="1594"/>
      <c r="CH234" s="1594"/>
      <c r="CI234" s="1594"/>
      <c r="CJ234" s="1594"/>
      <c r="CK234" s="1594"/>
      <c r="CL234" s="1594"/>
      <c r="CM234" s="1594"/>
      <c r="CN234" s="1594"/>
      <c r="CO234" s="1594"/>
      <c r="CP234" s="1594"/>
      <c r="CQ234" s="1594"/>
      <c r="CR234" s="1594"/>
      <c r="CS234" s="1594"/>
      <c r="CT234" s="1594"/>
      <c r="CU234" s="1594"/>
      <c r="CV234" s="1594"/>
      <c r="CW234" s="1594"/>
      <c r="CX234" s="1594"/>
      <c r="CY234" s="1594"/>
      <c r="CZ234" s="1594"/>
    </row>
    <row r="235" spans="1:104">
      <c r="A235" s="1584"/>
      <c r="B235" s="1587" t="s">
        <v>2494</v>
      </c>
      <c r="C235" s="1587"/>
      <c r="D235" s="632">
        <v>134564</v>
      </c>
      <c r="E235" s="1587"/>
      <c r="F235" s="215"/>
      <c r="G235" s="1595"/>
      <c r="H235" s="241"/>
      <c r="I235" s="1595"/>
      <c r="J235" s="1595"/>
      <c r="K235" s="1595"/>
      <c r="L235" s="1595"/>
      <c r="M235" s="1595"/>
      <c r="N235" s="1595"/>
      <c r="O235" s="1595"/>
      <c r="P235" s="1595"/>
      <c r="Q235" s="539"/>
      <c r="R235" s="1594"/>
      <c r="S235" s="1594"/>
      <c r="T235" s="1594"/>
      <c r="U235" s="626"/>
      <c r="V235" s="499"/>
      <c r="W235" s="317"/>
      <c r="X235" s="317"/>
      <c r="Y235" s="317"/>
      <c r="Z235" s="317"/>
      <c r="AA235" s="317"/>
      <c r="AB235" s="1594"/>
      <c r="AC235" s="317"/>
      <c r="AD235" s="1594"/>
      <c r="AE235" s="1594"/>
      <c r="AF235" s="1594"/>
      <c r="AG235" s="1594"/>
      <c r="AH235" s="1594"/>
      <c r="AI235" s="1594"/>
      <c r="AJ235" s="1594"/>
      <c r="AK235" s="1594"/>
      <c r="AL235" s="1594"/>
      <c r="AM235" s="1594"/>
      <c r="AN235" s="1594"/>
      <c r="AO235" s="1594"/>
      <c r="AP235" s="1594"/>
      <c r="AQ235" s="1594"/>
      <c r="AR235" s="1594"/>
      <c r="AS235" s="1594"/>
      <c r="AT235" s="1594"/>
      <c r="AU235" s="1594"/>
      <c r="AV235" s="1594"/>
      <c r="AW235" s="1594"/>
      <c r="AX235" s="1594"/>
      <c r="AY235" s="1594"/>
      <c r="AZ235" s="1594"/>
      <c r="BA235" s="1594"/>
      <c r="BB235" s="1594"/>
      <c r="BC235" s="1594"/>
      <c r="BD235" s="1594"/>
      <c r="BE235" s="1594"/>
      <c r="BF235" s="1594"/>
      <c r="BG235" s="1594"/>
      <c r="BH235" s="1594"/>
      <c r="BI235" s="1594"/>
      <c r="BJ235" s="1594"/>
      <c r="BK235" s="1594"/>
      <c r="BL235" s="1594"/>
      <c r="BM235" s="1594"/>
      <c r="BN235" s="1594"/>
      <c r="BO235" s="1594"/>
      <c r="BP235" s="1594"/>
      <c r="BQ235" s="1594"/>
      <c r="BR235" s="1594"/>
      <c r="BS235" s="1594"/>
      <c r="BT235" s="1594"/>
      <c r="BU235" s="1594"/>
      <c r="BV235" s="1594"/>
      <c r="BW235" s="1594"/>
      <c r="BX235" s="1594"/>
      <c r="BY235" s="1594"/>
      <c r="BZ235" s="1594"/>
      <c r="CA235" s="1594"/>
      <c r="CB235" s="1594"/>
      <c r="CC235" s="1594"/>
      <c r="CD235" s="1594"/>
      <c r="CE235" s="1594"/>
      <c r="CF235" s="1594"/>
      <c r="CG235" s="1594"/>
      <c r="CH235" s="1594"/>
      <c r="CI235" s="1594"/>
      <c r="CJ235" s="1594"/>
      <c r="CK235" s="1594"/>
      <c r="CL235" s="1594"/>
      <c r="CM235" s="1594"/>
      <c r="CN235" s="1594"/>
      <c r="CO235" s="1594"/>
      <c r="CP235" s="1594"/>
      <c r="CQ235" s="1594"/>
      <c r="CR235" s="1594"/>
      <c r="CS235" s="1594"/>
      <c r="CT235" s="1594"/>
      <c r="CU235" s="1594"/>
      <c r="CV235" s="1594"/>
      <c r="CW235" s="1594"/>
      <c r="CX235" s="1594"/>
      <c r="CY235" s="1594"/>
      <c r="CZ235" s="1594"/>
    </row>
    <row r="236" spans="1:104">
      <c r="A236" s="1584"/>
      <c r="B236" s="1587" t="s">
        <v>1338</v>
      </c>
      <c r="C236" s="1587"/>
      <c r="D236" s="632"/>
      <c r="E236" s="1587"/>
      <c r="F236" s="215"/>
      <c r="G236" s="1595"/>
      <c r="H236" s="241"/>
      <c r="I236" s="1595"/>
      <c r="J236" s="1595"/>
      <c r="K236" s="1595"/>
      <c r="L236" s="1595"/>
      <c r="M236" s="1595"/>
      <c r="N236" s="1595"/>
      <c r="O236" s="1595"/>
      <c r="P236" s="1595"/>
      <c r="Q236" s="539">
        <v>0</v>
      </c>
      <c r="R236" s="1594"/>
      <c r="S236" s="1594"/>
      <c r="T236" s="1594"/>
      <c r="U236" s="626"/>
      <c r="V236" s="499"/>
      <c r="W236" s="316"/>
      <c r="X236" s="317"/>
      <c r="Y236" s="317"/>
      <c r="Z236" s="317"/>
      <c r="AA236" s="317"/>
      <c r="AB236" s="1594"/>
      <c r="AC236" s="317"/>
      <c r="AD236" s="1594"/>
      <c r="AE236" s="1594"/>
      <c r="AF236" s="1594"/>
      <c r="AG236" s="1594"/>
      <c r="AH236" s="1594"/>
      <c r="AI236" s="1594"/>
      <c r="AJ236" s="1594"/>
      <c r="AK236" s="1594"/>
      <c r="AL236" s="1594"/>
      <c r="AM236" s="1594"/>
      <c r="AN236" s="1594"/>
      <c r="AO236" s="1594"/>
      <c r="AP236" s="1594"/>
      <c r="AQ236" s="1594"/>
      <c r="AR236" s="1594"/>
      <c r="AS236" s="1594"/>
      <c r="AT236" s="1594"/>
      <c r="AU236" s="1594"/>
      <c r="AV236" s="1594"/>
      <c r="AW236" s="1594"/>
      <c r="AX236" s="1594"/>
      <c r="AY236" s="1594"/>
      <c r="AZ236" s="1594"/>
      <c r="BA236" s="1594"/>
      <c r="BB236" s="1594"/>
      <c r="BC236" s="1594"/>
      <c r="BD236" s="1594"/>
      <c r="BE236" s="1594"/>
      <c r="BF236" s="1594"/>
      <c r="BG236" s="1594"/>
      <c r="BH236" s="1594"/>
      <c r="BI236" s="1594"/>
      <c r="BJ236" s="1594"/>
      <c r="BK236" s="1594"/>
      <c r="BL236" s="1594"/>
      <c r="BM236" s="1594"/>
      <c r="BN236" s="1594"/>
      <c r="BO236" s="1594"/>
      <c r="BP236" s="1594"/>
      <c r="BQ236" s="1594"/>
      <c r="BR236" s="1594"/>
      <c r="BS236" s="1594"/>
      <c r="BT236" s="1594"/>
      <c r="BU236" s="1594"/>
      <c r="BV236" s="1594"/>
      <c r="BW236" s="1594"/>
      <c r="BX236" s="1594"/>
      <c r="BY236" s="1594"/>
      <c r="BZ236" s="1594"/>
      <c r="CA236" s="1594"/>
      <c r="CB236" s="1594"/>
      <c r="CC236" s="1594"/>
      <c r="CD236" s="1594"/>
      <c r="CE236" s="1594"/>
      <c r="CF236" s="1594"/>
      <c r="CG236" s="1594"/>
      <c r="CH236" s="1594"/>
      <c r="CI236" s="1594"/>
      <c r="CJ236" s="1594"/>
      <c r="CK236" s="1594"/>
      <c r="CL236" s="1594"/>
      <c r="CM236" s="1594"/>
      <c r="CN236" s="1594"/>
      <c r="CO236" s="1594"/>
      <c r="CP236" s="1594"/>
      <c r="CQ236" s="1594"/>
      <c r="CR236" s="1594"/>
      <c r="CS236" s="1594"/>
      <c r="CT236" s="1594"/>
      <c r="CU236" s="1594"/>
      <c r="CV236" s="1594"/>
      <c r="CW236" s="1594"/>
      <c r="CX236" s="1594"/>
      <c r="CY236" s="1594"/>
      <c r="CZ236" s="1594"/>
    </row>
    <row r="237" spans="1:104">
      <c r="A237" s="1584"/>
      <c r="B237" s="1587" t="s">
        <v>825</v>
      </c>
      <c r="C237" s="1587"/>
      <c r="D237" s="627"/>
      <c r="E237" s="1587"/>
      <c r="F237" s="545">
        <v>79066</v>
      </c>
      <c r="G237" s="1595"/>
      <c r="H237" s="241"/>
      <c r="I237" s="1595"/>
      <c r="J237" s="1595"/>
      <c r="K237" s="1595"/>
      <c r="L237" s="1595"/>
      <c r="M237" s="1595"/>
      <c r="N237" s="1595"/>
      <c r="O237" s="1595"/>
      <c r="P237" s="1595"/>
      <c r="Q237" s="563">
        <v>86039</v>
      </c>
      <c r="R237" s="1594"/>
      <c r="S237" s="1594"/>
      <c r="T237" s="1594"/>
      <c r="U237" s="648">
        <v>118778</v>
      </c>
      <c r="V237" s="499"/>
      <c r="W237" s="317"/>
      <c r="X237" s="317"/>
      <c r="Y237" s="317"/>
      <c r="Z237" s="317"/>
      <c r="AA237" s="317"/>
      <c r="AB237" s="1594"/>
      <c r="AC237" s="317"/>
      <c r="AD237" s="1594"/>
      <c r="AE237" s="1594"/>
      <c r="AF237" s="1594"/>
      <c r="AG237" s="1594"/>
      <c r="AH237" s="1594"/>
      <c r="AI237" s="1594"/>
      <c r="AJ237" s="1594"/>
      <c r="AK237" s="1594"/>
      <c r="AL237" s="1594"/>
      <c r="AM237" s="1594"/>
      <c r="AN237" s="1594"/>
      <c r="AO237" s="1594"/>
      <c r="AP237" s="1594"/>
      <c r="AQ237" s="1594"/>
      <c r="AR237" s="1594"/>
      <c r="AS237" s="1594"/>
      <c r="AT237" s="1594"/>
      <c r="AU237" s="1594"/>
      <c r="AV237" s="1594"/>
      <c r="AW237" s="1594"/>
      <c r="AX237" s="1594"/>
      <c r="AY237" s="1594"/>
      <c r="AZ237" s="1594"/>
      <c r="BA237" s="1594"/>
      <c r="BB237" s="1594"/>
      <c r="BC237" s="1594"/>
      <c r="BD237" s="1594"/>
      <c r="BE237" s="1594"/>
      <c r="BF237" s="1594"/>
      <c r="BG237" s="1594"/>
      <c r="BH237" s="1594"/>
      <c r="BI237" s="1594"/>
      <c r="BJ237" s="1594"/>
      <c r="BK237" s="1594"/>
      <c r="BL237" s="1594"/>
      <c r="BM237" s="1594"/>
      <c r="BN237" s="1594"/>
      <c r="BO237" s="1594"/>
      <c r="BP237" s="1594"/>
      <c r="BQ237" s="1594"/>
      <c r="BR237" s="1594"/>
      <c r="BS237" s="1594"/>
      <c r="BT237" s="1594"/>
      <c r="BU237" s="1594"/>
      <c r="BV237" s="1594"/>
      <c r="BW237" s="1594"/>
      <c r="BX237" s="1594"/>
      <c r="BY237" s="1594"/>
      <c r="BZ237" s="1594"/>
      <c r="CA237" s="1594"/>
      <c r="CB237" s="1594"/>
      <c r="CC237" s="1594"/>
      <c r="CD237" s="1594"/>
      <c r="CE237" s="1594"/>
      <c r="CF237" s="1594"/>
      <c r="CG237" s="1594"/>
      <c r="CH237" s="1594"/>
      <c r="CI237" s="1594"/>
      <c r="CJ237" s="1594"/>
      <c r="CK237" s="1594"/>
      <c r="CL237" s="1594"/>
      <c r="CM237" s="1594"/>
      <c r="CN237" s="1594"/>
      <c r="CO237" s="1594"/>
      <c r="CP237" s="1594"/>
      <c r="CQ237" s="1594"/>
      <c r="CR237" s="1594"/>
      <c r="CS237" s="1594"/>
      <c r="CT237" s="1594"/>
      <c r="CU237" s="1594"/>
      <c r="CV237" s="1594"/>
      <c r="CW237" s="1594"/>
      <c r="CX237" s="1594"/>
      <c r="CY237" s="1594"/>
      <c r="CZ237" s="1594"/>
    </row>
    <row r="238" spans="1:104">
      <c r="A238" s="1584"/>
      <c r="B238" s="1587"/>
      <c r="C238" s="1587"/>
      <c r="D238" s="628"/>
      <c r="E238" s="1587"/>
      <c r="F238" s="513"/>
      <c r="G238" s="1595"/>
      <c r="H238" s="241"/>
      <c r="I238" s="1595"/>
      <c r="J238" s="1595"/>
      <c r="K238" s="1595"/>
      <c r="L238" s="1595"/>
      <c r="M238" s="1595"/>
      <c r="N238" s="1595"/>
      <c r="O238" s="1595"/>
      <c r="P238" s="1595"/>
      <c r="Q238" s="317"/>
      <c r="R238" s="1594"/>
      <c r="S238" s="1594"/>
      <c r="T238" s="1594"/>
      <c r="U238" s="621"/>
      <c r="V238" s="499"/>
      <c r="W238" s="317"/>
      <c r="X238" s="317"/>
      <c r="Y238" s="317"/>
      <c r="Z238" s="317"/>
      <c r="AA238" s="317"/>
      <c r="AB238" s="1594"/>
      <c r="AC238" s="317"/>
      <c r="AD238" s="1594"/>
      <c r="AE238" s="1594"/>
      <c r="AF238" s="1594"/>
      <c r="AG238" s="1594"/>
      <c r="AH238" s="1594"/>
      <c r="AI238" s="1594"/>
      <c r="AJ238" s="1594"/>
      <c r="AK238" s="1594"/>
      <c r="AL238" s="1594"/>
      <c r="AM238" s="1594"/>
      <c r="AN238" s="1594"/>
      <c r="AO238" s="1594"/>
      <c r="AP238" s="1594"/>
      <c r="AQ238" s="1594"/>
      <c r="AR238" s="1594"/>
      <c r="AS238" s="1594"/>
      <c r="AT238" s="1594"/>
      <c r="AU238" s="1594"/>
      <c r="AV238" s="1594"/>
      <c r="AW238" s="1594"/>
      <c r="AX238" s="1594"/>
      <c r="AY238" s="1594"/>
      <c r="AZ238" s="1594"/>
      <c r="BA238" s="1594"/>
      <c r="BB238" s="1594"/>
      <c r="BC238" s="1594"/>
      <c r="BD238" s="1594"/>
      <c r="BE238" s="1594"/>
      <c r="BF238" s="1594"/>
      <c r="BG238" s="1594"/>
      <c r="BH238" s="1594"/>
      <c r="BI238" s="1594"/>
      <c r="BJ238" s="1594"/>
      <c r="BK238" s="1594"/>
      <c r="BL238" s="1594"/>
      <c r="BM238" s="1594"/>
      <c r="BN238" s="1594"/>
      <c r="BO238" s="1594"/>
      <c r="BP238" s="1594"/>
      <c r="BQ238" s="1594"/>
      <c r="BR238" s="1594"/>
      <c r="BS238" s="1594"/>
      <c r="BT238" s="1594"/>
      <c r="BU238" s="1594"/>
      <c r="BV238" s="1594"/>
      <c r="BW238" s="1594"/>
      <c r="BX238" s="1594"/>
      <c r="BY238" s="1594"/>
      <c r="BZ238" s="1594"/>
      <c r="CA238" s="1594"/>
      <c r="CB238" s="1594"/>
      <c r="CC238" s="1594"/>
      <c r="CD238" s="1594"/>
      <c r="CE238" s="1594"/>
      <c r="CF238" s="1594"/>
      <c r="CG238" s="1594"/>
      <c r="CH238" s="1594"/>
      <c r="CI238" s="1594"/>
      <c r="CJ238" s="1594"/>
      <c r="CK238" s="1594"/>
      <c r="CL238" s="1594"/>
      <c r="CM238" s="1594"/>
      <c r="CN238" s="1594"/>
      <c r="CO238" s="1594"/>
      <c r="CP238" s="1594"/>
      <c r="CQ238" s="1594"/>
      <c r="CR238" s="1594"/>
      <c r="CS238" s="1594"/>
      <c r="CT238" s="1594"/>
      <c r="CU238" s="1594"/>
      <c r="CV238" s="1594"/>
      <c r="CW238" s="1594"/>
      <c r="CX238" s="1594"/>
      <c r="CY238" s="1594"/>
      <c r="CZ238" s="1594"/>
    </row>
    <row r="239" spans="1:104" ht="13.5" thickBot="1">
      <c r="A239" s="1584"/>
      <c r="B239" s="150" t="s">
        <v>683</v>
      </c>
      <c r="C239" s="150"/>
      <c r="D239" s="154">
        <f>SUM(D241:D245)</f>
        <v>974703.01</v>
      </c>
      <c r="E239" s="150"/>
      <c r="F239" s="154">
        <f>SUM(F241:F245)</f>
        <v>661571</v>
      </c>
      <c r="G239" s="1595"/>
      <c r="H239" s="241"/>
      <c r="I239" s="1595"/>
      <c r="J239" s="1595"/>
      <c r="K239" s="1595"/>
      <c r="L239" s="1595"/>
      <c r="M239" s="1595"/>
      <c r="N239" s="1595"/>
      <c r="O239" s="1595"/>
      <c r="P239" s="1595"/>
      <c r="Q239" s="317">
        <f>SUM(Q241:Q245)</f>
        <v>591021</v>
      </c>
      <c r="R239" s="135"/>
      <c r="S239" s="135"/>
      <c r="T239" s="135"/>
      <c r="U239" s="621">
        <f>SUM(U241:U245)</f>
        <v>565314.16999999993</v>
      </c>
      <c r="V239" s="499"/>
      <c r="W239" s="317"/>
      <c r="X239" s="317"/>
      <c r="Y239" s="317"/>
      <c r="Z239" s="317"/>
      <c r="AA239" s="317"/>
      <c r="AB239" s="1594"/>
      <c r="AC239" s="317"/>
      <c r="AD239" s="1594"/>
      <c r="AE239" s="1594"/>
      <c r="AF239" s="1594"/>
      <c r="AG239" s="1594"/>
      <c r="AH239" s="1594"/>
      <c r="AI239" s="1594"/>
      <c r="AJ239" s="1594"/>
      <c r="AK239" s="1594"/>
      <c r="AL239" s="1594"/>
      <c r="AM239" s="1594"/>
      <c r="AN239" s="1594"/>
      <c r="AO239" s="1594"/>
      <c r="AP239" s="1594"/>
      <c r="AQ239" s="1594"/>
      <c r="AR239" s="1594"/>
      <c r="AS239" s="1594"/>
      <c r="AT239" s="1594"/>
      <c r="AU239" s="1594"/>
      <c r="AV239" s="1594"/>
      <c r="AW239" s="1594"/>
      <c r="AX239" s="1594"/>
      <c r="AY239" s="1594"/>
      <c r="AZ239" s="1594"/>
      <c r="BA239" s="1594"/>
      <c r="BB239" s="1594"/>
      <c r="BC239" s="1594"/>
      <c r="BD239" s="1594"/>
      <c r="BE239" s="1594"/>
      <c r="BF239" s="1594"/>
      <c r="BG239" s="1594"/>
      <c r="BH239" s="1594"/>
      <c r="BI239" s="1594"/>
      <c r="BJ239" s="1594"/>
      <c r="BK239" s="1594"/>
      <c r="BL239" s="1594"/>
      <c r="BM239" s="1594"/>
      <c r="BN239" s="1594"/>
      <c r="BO239" s="1594"/>
      <c r="BP239" s="1594"/>
      <c r="BQ239" s="1594"/>
      <c r="BR239" s="1594"/>
      <c r="BS239" s="1594"/>
      <c r="BT239" s="1594"/>
      <c r="BU239" s="1594"/>
      <c r="BV239" s="1594"/>
      <c r="BW239" s="1594"/>
      <c r="BX239" s="1594"/>
      <c r="BY239" s="1594"/>
      <c r="BZ239" s="1594"/>
      <c r="CA239" s="1594"/>
      <c r="CB239" s="1594"/>
      <c r="CC239" s="1594"/>
      <c r="CD239" s="1594"/>
      <c r="CE239" s="1594"/>
      <c r="CF239" s="1594"/>
      <c r="CG239" s="1594"/>
      <c r="CH239" s="1594"/>
      <c r="CI239" s="1594"/>
      <c r="CJ239" s="1594"/>
      <c r="CK239" s="1594"/>
      <c r="CL239" s="1594"/>
      <c r="CM239" s="1594"/>
      <c r="CN239" s="1594"/>
      <c r="CO239" s="1594"/>
      <c r="CP239" s="1594"/>
      <c r="CQ239" s="1594"/>
      <c r="CR239" s="1594"/>
      <c r="CS239" s="1594"/>
      <c r="CT239" s="1594"/>
      <c r="CU239" s="1594"/>
      <c r="CV239" s="1594"/>
      <c r="CW239" s="1594"/>
      <c r="CX239" s="1594"/>
      <c r="CY239" s="1594"/>
      <c r="CZ239" s="1594"/>
    </row>
    <row r="240" spans="1:104" ht="13.5" thickTop="1">
      <c r="A240" s="1584"/>
      <c r="B240" s="150"/>
      <c r="C240" s="150"/>
      <c r="D240" s="151"/>
      <c r="E240" s="150"/>
      <c r="F240" s="151"/>
      <c r="G240" s="1595"/>
      <c r="H240" s="241"/>
      <c r="I240" s="1595"/>
      <c r="J240" s="1595"/>
      <c r="K240" s="1595"/>
      <c r="L240" s="1595"/>
      <c r="M240" s="1595"/>
      <c r="N240" s="1595"/>
      <c r="O240" s="1595"/>
      <c r="P240" s="1595"/>
      <c r="Q240" s="317"/>
      <c r="R240" s="135"/>
      <c r="S240" s="135"/>
      <c r="T240" s="135"/>
      <c r="U240" s="621"/>
      <c r="V240" s="499"/>
      <c r="W240" s="317"/>
      <c r="X240" s="317"/>
      <c r="Y240" s="317"/>
      <c r="Z240" s="317"/>
      <c r="AA240" s="317"/>
      <c r="AB240" s="1594"/>
      <c r="AC240" s="317"/>
      <c r="AD240" s="1594"/>
      <c r="AE240" s="1594"/>
      <c r="AF240" s="1594"/>
      <c r="AG240" s="1594"/>
      <c r="AH240" s="1594"/>
      <c r="AI240" s="1594"/>
      <c r="AJ240" s="1594"/>
      <c r="AK240" s="1594"/>
      <c r="AL240" s="1594"/>
      <c r="AM240" s="1594"/>
      <c r="AN240" s="1594"/>
      <c r="AO240" s="1594"/>
      <c r="AP240" s="1594"/>
      <c r="AQ240" s="1594"/>
      <c r="AR240" s="1594"/>
      <c r="AS240" s="1594"/>
      <c r="AT240" s="1594"/>
      <c r="AU240" s="1594"/>
      <c r="AV240" s="1594"/>
      <c r="AW240" s="1594"/>
      <c r="AX240" s="1594"/>
      <c r="AY240" s="1594"/>
      <c r="AZ240" s="1594"/>
      <c r="BA240" s="1594"/>
      <c r="BB240" s="1594"/>
      <c r="BC240" s="1594"/>
      <c r="BD240" s="1594"/>
      <c r="BE240" s="1594"/>
      <c r="BF240" s="1594"/>
      <c r="BG240" s="1594"/>
      <c r="BH240" s="1594"/>
      <c r="BI240" s="1594"/>
      <c r="BJ240" s="1594"/>
      <c r="BK240" s="1594"/>
      <c r="BL240" s="1594"/>
      <c r="BM240" s="1594"/>
      <c r="BN240" s="1594"/>
      <c r="BO240" s="1594"/>
      <c r="BP240" s="1594"/>
      <c r="BQ240" s="1594"/>
      <c r="BR240" s="1594"/>
      <c r="BS240" s="1594"/>
      <c r="BT240" s="1594"/>
      <c r="BU240" s="1594"/>
      <c r="BV240" s="1594"/>
      <c r="BW240" s="1594"/>
      <c r="BX240" s="1594"/>
      <c r="BY240" s="1594"/>
      <c r="BZ240" s="1594"/>
      <c r="CA240" s="1594"/>
      <c r="CB240" s="1594"/>
      <c r="CC240" s="1594"/>
      <c r="CD240" s="1594"/>
      <c r="CE240" s="1594"/>
      <c r="CF240" s="1594"/>
      <c r="CG240" s="1594"/>
      <c r="CH240" s="1594"/>
      <c r="CI240" s="1594"/>
      <c r="CJ240" s="1594"/>
      <c r="CK240" s="1594"/>
      <c r="CL240" s="1594"/>
      <c r="CM240" s="1594"/>
      <c r="CN240" s="1594"/>
      <c r="CO240" s="1594"/>
      <c r="CP240" s="1594"/>
      <c r="CQ240" s="1594"/>
      <c r="CR240" s="1594"/>
      <c r="CS240" s="1594"/>
      <c r="CT240" s="1594"/>
      <c r="CU240" s="1594"/>
      <c r="CV240" s="1594"/>
      <c r="CW240" s="1594"/>
      <c r="CX240" s="1594"/>
      <c r="CY240" s="1594"/>
      <c r="CZ240" s="1594"/>
    </row>
    <row r="241" spans="1:104">
      <c r="A241" s="1584"/>
      <c r="B241" s="1587" t="s">
        <v>824</v>
      </c>
      <c r="C241" s="1587"/>
      <c r="D241" s="630">
        <v>620332.52</v>
      </c>
      <c r="E241" s="1587"/>
      <c r="F241" s="543">
        <v>515320</v>
      </c>
      <c r="G241" s="1595"/>
      <c r="H241" s="241"/>
      <c r="I241" s="1595"/>
      <c r="J241" s="1595"/>
      <c r="K241" s="1595"/>
      <c r="L241" s="1595"/>
      <c r="M241" s="1595"/>
      <c r="N241" s="1595"/>
      <c r="O241" s="1595"/>
      <c r="P241" s="1595"/>
      <c r="Q241" s="624">
        <v>423305</v>
      </c>
      <c r="R241" s="1594"/>
      <c r="S241" s="1594"/>
      <c r="T241" s="1594"/>
      <c r="U241" s="625">
        <v>374485.17</v>
      </c>
      <c r="V241" s="499"/>
      <c r="W241" s="316"/>
      <c r="X241" s="317"/>
      <c r="Y241" s="317"/>
      <c r="Z241" s="317"/>
      <c r="AA241" s="317"/>
      <c r="AB241" s="1594"/>
      <c r="AC241" s="317"/>
      <c r="AD241" s="1594"/>
      <c r="AE241" s="1594"/>
      <c r="AF241" s="1594"/>
      <c r="AG241" s="1594"/>
      <c r="AH241" s="1594"/>
      <c r="AI241" s="1594"/>
      <c r="AJ241" s="1594"/>
      <c r="AK241" s="1594"/>
      <c r="AL241" s="1594"/>
      <c r="AM241" s="1594"/>
      <c r="AN241" s="1594"/>
      <c r="AO241" s="1594"/>
      <c r="AP241" s="1594"/>
      <c r="AQ241" s="1594"/>
      <c r="AR241" s="1594"/>
      <c r="AS241" s="1594"/>
      <c r="AT241" s="1594"/>
      <c r="AU241" s="1594"/>
      <c r="AV241" s="1594"/>
      <c r="AW241" s="1594"/>
      <c r="AX241" s="1594"/>
      <c r="AY241" s="1594"/>
      <c r="AZ241" s="1594"/>
      <c r="BA241" s="1594"/>
      <c r="BB241" s="1594"/>
      <c r="BC241" s="1594"/>
      <c r="BD241" s="1594"/>
      <c r="BE241" s="1594"/>
      <c r="BF241" s="1594"/>
      <c r="BG241" s="1594"/>
      <c r="BH241" s="1594"/>
      <c r="BI241" s="1594"/>
      <c r="BJ241" s="1594"/>
      <c r="BK241" s="1594"/>
      <c r="BL241" s="1594"/>
      <c r="BM241" s="1594"/>
      <c r="BN241" s="1594"/>
      <c r="BO241" s="1594"/>
      <c r="BP241" s="1594"/>
      <c r="BQ241" s="1594"/>
      <c r="BR241" s="1594"/>
      <c r="BS241" s="1594"/>
      <c r="BT241" s="1594"/>
      <c r="BU241" s="1594"/>
      <c r="BV241" s="1594"/>
      <c r="BW241" s="1594"/>
      <c r="BX241" s="1594"/>
      <c r="BY241" s="1594"/>
      <c r="BZ241" s="1594"/>
      <c r="CA241" s="1594"/>
      <c r="CB241" s="1594"/>
      <c r="CC241" s="1594"/>
      <c r="CD241" s="1594"/>
      <c r="CE241" s="1594"/>
      <c r="CF241" s="1594"/>
      <c r="CG241" s="1594"/>
      <c r="CH241" s="1594"/>
      <c r="CI241" s="1594"/>
      <c r="CJ241" s="1594"/>
      <c r="CK241" s="1594"/>
      <c r="CL241" s="1594"/>
      <c r="CM241" s="1594"/>
      <c r="CN241" s="1594"/>
      <c r="CO241" s="1594"/>
      <c r="CP241" s="1594"/>
      <c r="CQ241" s="1594"/>
      <c r="CR241" s="1594"/>
      <c r="CS241" s="1594"/>
      <c r="CT241" s="1594"/>
      <c r="CU241" s="1594"/>
      <c r="CV241" s="1594"/>
      <c r="CW241" s="1594"/>
      <c r="CX241" s="1594"/>
      <c r="CY241" s="1594"/>
      <c r="CZ241" s="1594"/>
    </row>
    <row r="242" spans="1:104">
      <c r="A242" s="1584"/>
      <c r="B242" s="1587" t="s">
        <v>1337</v>
      </c>
      <c r="C242" s="1587"/>
      <c r="D242" s="632">
        <v>54000</v>
      </c>
      <c r="E242" s="1587"/>
      <c r="F242" s="215">
        <v>89000</v>
      </c>
      <c r="G242" s="1595"/>
      <c r="H242" s="241"/>
      <c r="I242" s="1595"/>
      <c r="J242" s="1595"/>
      <c r="K242" s="1595"/>
      <c r="L242" s="1595"/>
      <c r="M242" s="1595"/>
      <c r="N242" s="1595"/>
      <c r="O242" s="1595"/>
      <c r="P242" s="1595"/>
      <c r="Q242" s="539">
        <v>106800</v>
      </c>
      <c r="R242" s="1594"/>
      <c r="S242" s="1594"/>
      <c r="T242" s="1594"/>
      <c r="U242" s="626">
        <v>108000</v>
      </c>
      <c r="V242" s="499"/>
      <c r="W242" s="317"/>
      <c r="X242" s="317"/>
      <c r="Y242" s="317"/>
      <c r="Z242" s="317"/>
      <c r="AA242" s="317"/>
      <c r="AB242" s="1594"/>
      <c r="AC242" s="317"/>
      <c r="AD242" s="1594"/>
      <c r="AE242" s="1594"/>
      <c r="AF242" s="1594"/>
      <c r="AG242" s="1594"/>
      <c r="AH242" s="1594"/>
      <c r="AI242" s="1594"/>
      <c r="AJ242" s="1594"/>
      <c r="AK242" s="1594"/>
      <c r="AL242" s="1594"/>
      <c r="AM242" s="1594"/>
      <c r="AN242" s="1594"/>
      <c r="AO242" s="1594"/>
      <c r="AP242" s="1594"/>
      <c r="AQ242" s="1594"/>
      <c r="AR242" s="1594"/>
      <c r="AS242" s="1594"/>
      <c r="AT242" s="1594"/>
      <c r="AU242" s="1594"/>
      <c r="AV242" s="1594"/>
      <c r="AW242" s="1594"/>
      <c r="AX242" s="1594"/>
      <c r="AY242" s="1594"/>
      <c r="AZ242" s="1594"/>
      <c r="BA242" s="1594"/>
      <c r="BB242" s="1594"/>
      <c r="BC242" s="1594"/>
      <c r="BD242" s="1594"/>
      <c r="BE242" s="1594"/>
      <c r="BF242" s="1594"/>
      <c r="BG242" s="1594"/>
      <c r="BH242" s="1594"/>
      <c r="BI242" s="1594"/>
      <c r="BJ242" s="1594"/>
      <c r="BK242" s="1594"/>
      <c r="BL242" s="1594"/>
      <c r="BM242" s="1594"/>
      <c r="BN242" s="1594"/>
      <c r="BO242" s="1594"/>
      <c r="BP242" s="1594"/>
      <c r="BQ242" s="1594"/>
      <c r="BR242" s="1594"/>
      <c r="BS242" s="1594"/>
      <c r="BT242" s="1594"/>
      <c r="BU242" s="1594"/>
      <c r="BV242" s="1594"/>
      <c r="BW242" s="1594"/>
      <c r="BX242" s="1594"/>
      <c r="BY242" s="1594"/>
      <c r="BZ242" s="1594"/>
      <c r="CA242" s="1594"/>
      <c r="CB242" s="1594"/>
      <c r="CC242" s="1594"/>
      <c r="CD242" s="1594"/>
      <c r="CE242" s="1594"/>
      <c r="CF242" s="1594"/>
      <c r="CG242" s="1594"/>
      <c r="CH242" s="1594"/>
      <c r="CI242" s="1594"/>
      <c r="CJ242" s="1594"/>
      <c r="CK242" s="1594"/>
      <c r="CL242" s="1594"/>
      <c r="CM242" s="1594"/>
      <c r="CN242" s="1594"/>
      <c r="CO242" s="1594"/>
      <c r="CP242" s="1594"/>
      <c r="CQ242" s="1594"/>
      <c r="CR242" s="1594"/>
      <c r="CS242" s="1594"/>
      <c r="CT242" s="1594"/>
      <c r="CU242" s="1594"/>
      <c r="CV242" s="1594"/>
      <c r="CW242" s="1594"/>
      <c r="CX242" s="1594"/>
      <c r="CY242" s="1594"/>
      <c r="CZ242" s="1594"/>
    </row>
    <row r="243" spans="1:104">
      <c r="A243" s="1584"/>
      <c r="B243" s="1587" t="s">
        <v>2494</v>
      </c>
      <c r="C243" s="1587"/>
      <c r="D243" s="632">
        <v>300370.49</v>
      </c>
      <c r="E243" s="1587"/>
      <c r="F243" s="215"/>
      <c r="G243" s="1595"/>
      <c r="H243" s="241"/>
      <c r="I243" s="1595"/>
      <c r="J243" s="1595"/>
      <c r="K243" s="1595"/>
      <c r="L243" s="1595"/>
      <c r="M243" s="1595"/>
      <c r="N243" s="1595"/>
      <c r="O243" s="1595"/>
      <c r="P243" s="1595"/>
      <c r="Q243" s="539"/>
      <c r="R243" s="1594"/>
      <c r="S243" s="1594"/>
      <c r="T243" s="1594"/>
      <c r="U243" s="626"/>
      <c r="V243" s="499"/>
      <c r="W243" s="317"/>
      <c r="X243" s="317"/>
      <c r="Y243" s="317"/>
      <c r="Z243" s="317"/>
      <c r="AA243" s="317"/>
      <c r="AB243" s="1594"/>
      <c r="AC243" s="317"/>
      <c r="AD243" s="1594"/>
      <c r="AE243" s="1594"/>
      <c r="AF243" s="1594"/>
      <c r="AG243" s="1594"/>
      <c r="AH243" s="1594"/>
      <c r="AI243" s="1594"/>
      <c r="AJ243" s="1594"/>
      <c r="AK243" s="1594"/>
      <c r="AL243" s="1594"/>
      <c r="AM243" s="1594"/>
      <c r="AN243" s="1594"/>
      <c r="AO243" s="1594"/>
      <c r="AP243" s="1594"/>
      <c r="AQ243" s="1594"/>
      <c r="AR243" s="1594"/>
      <c r="AS243" s="1594"/>
      <c r="AT243" s="1594"/>
      <c r="AU243" s="1594"/>
      <c r="AV243" s="1594"/>
      <c r="AW243" s="1594"/>
      <c r="AX243" s="1594"/>
      <c r="AY243" s="1594"/>
      <c r="AZ243" s="1594"/>
      <c r="BA243" s="1594"/>
      <c r="BB243" s="1594"/>
      <c r="BC243" s="1594"/>
      <c r="BD243" s="1594"/>
      <c r="BE243" s="1594"/>
      <c r="BF243" s="1594"/>
      <c r="BG243" s="1594"/>
      <c r="BH243" s="1594"/>
      <c r="BI243" s="1594"/>
      <c r="BJ243" s="1594"/>
      <c r="BK243" s="1594"/>
      <c r="BL243" s="1594"/>
      <c r="BM243" s="1594"/>
      <c r="BN243" s="1594"/>
      <c r="BO243" s="1594"/>
      <c r="BP243" s="1594"/>
      <c r="BQ243" s="1594"/>
      <c r="BR243" s="1594"/>
      <c r="BS243" s="1594"/>
      <c r="BT243" s="1594"/>
      <c r="BU243" s="1594"/>
      <c r="BV243" s="1594"/>
      <c r="BW243" s="1594"/>
      <c r="BX243" s="1594"/>
      <c r="BY243" s="1594"/>
      <c r="BZ243" s="1594"/>
      <c r="CA243" s="1594"/>
      <c r="CB243" s="1594"/>
      <c r="CC243" s="1594"/>
      <c r="CD243" s="1594"/>
      <c r="CE243" s="1594"/>
      <c r="CF243" s="1594"/>
      <c r="CG243" s="1594"/>
      <c r="CH243" s="1594"/>
      <c r="CI243" s="1594"/>
      <c r="CJ243" s="1594"/>
      <c r="CK243" s="1594"/>
      <c r="CL243" s="1594"/>
      <c r="CM243" s="1594"/>
      <c r="CN243" s="1594"/>
      <c r="CO243" s="1594"/>
      <c r="CP243" s="1594"/>
      <c r="CQ243" s="1594"/>
      <c r="CR243" s="1594"/>
      <c r="CS243" s="1594"/>
      <c r="CT243" s="1594"/>
      <c r="CU243" s="1594"/>
      <c r="CV243" s="1594"/>
      <c r="CW243" s="1594"/>
      <c r="CX243" s="1594"/>
      <c r="CY243" s="1594"/>
      <c r="CZ243" s="1594"/>
    </row>
    <row r="244" spans="1:104">
      <c r="A244" s="1584"/>
      <c r="B244" s="1587" t="s">
        <v>1338</v>
      </c>
      <c r="C244" s="1587"/>
      <c r="D244" s="632"/>
      <c r="E244" s="1587"/>
      <c r="F244" s="215"/>
      <c r="G244" s="1595"/>
      <c r="H244" s="241"/>
      <c r="I244" s="1595"/>
      <c r="J244" s="1595"/>
      <c r="K244" s="1595"/>
      <c r="L244" s="1595"/>
      <c r="M244" s="1595"/>
      <c r="N244" s="1595"/>
      <c r="O244" s="1595"/>
      <c r="P244" s="1595"/>
      <c r="Q244" s="539">
        <v>0</v>
      </c>
      <c r="R244" s="1594"/>
      <c r="S244" s="1594"/>
      <c r="T244" s="1594"/>
      <c r="U244" s="626"/>
      <c r="V244" s="499"/>
      <c r="W244" s="316" t="s">
        <v>36</v>
      </c>
      <c r="X244" s="317"/>
      <c r="Y244" s="317"/>
      <c r="Z244" s="317"/>
      <c r="AA244" s="317"/>
      <c r="AB244" s="1594"/>
      <c r="AC244" s="317"/>
      <c r="AD244" s="1594"/>
      <c r="AE244" s="1594"/>
      <c r="AF244" s="1594"/>
      <c r="AG244" s="1594"/>
      <c r="AH244" s="1594"/>
      <c r="AI244" s="1594"/>
      <c r="AJ244" s="1594"/>
      <c r="AK244" s="1594"/>
      <c r="AL244" s="1594"/>
      <c r="AM244" s="1594"/>
      <c r="AN244" s="1594"/>
      <c r="AO244" s="1594"/>
      <c r="AP244" s="1594"/>
      <c r="AQ244" s="1594"/>
      <c r="AR244" s="1594"/>
      <c r="AS244" s="1594"/>
      <c r="AT244" s="1594"/>
      <c r="AU244" s="1594"/>
      <c r="AV244" s="1594"/>
      <c r="AW244" s="1594"/>
      <c r="AX244" s="1594"/>
      <c r="AY244" s="1594"/>
      <c r="AZ244" s="1594"/>
      <c r="BA244" s="1594"/>
      <c r="BB244" s="1594"/>
      <c r="BC244" s="1594"/>
      <c r="BD244" s="1594"/>
      <c r="BE244" s="1594"/>
      <c r="BF244" s="1594"/>
      <c r="BG244" s="1594"/>
      <c r="BH244" s="1594"/>
      <c r="BI244" s="1594"/>
      <c r="BJ244" s="1594"/>
      <c r="BK244" s="1594"/>
      <c r="BL244" s="1594"/>
      <c r="BM244" s="1594"/>
      <c r="BN244" s="1594"/>
      <c r="BO244" s="1594"/>
      <c r="BP244" s="1594"/>
      <c r="BQ244" s="1594"/>
      <c r="BR244" s="1594"/>
      <c r="BS244" s="1594"/>
      <c r="BT244" s="1594"/>
      <c r="BU244" s="1594"/>
      <c r="BV244" s="1594"/>
      <c r="BW244" s="1594"/>
      <c r="BX244" s="1594"/>
      <c r="BY244" s="1594"/>
      <c r="BZ244" s="1594"/>
      <c r="CA244" s="1594"/>
      <c r="CB244" s="1594"/>
      <c r="CC244" s="1594"/>
      <c r="CD244" s="1594"/>
      <c r="CE244" s="1594"/>
      <c r="CF244" s="1594"/>
      <c r="CG244" s="1594"/>
      <c r="CH244" s="1594"/>
      <c r="CI244" s="1594"/>
      <c r="CJ244" s="1594"/>
      <c r="CK244" s="1594"/>
      <c r="CL244" s="1594"/>
      <c r="CM244" s="1594"/>
      <c r="CN244" s="1594"/>
      <c r="CO244" s="1594"/>
      <c r="CP244" s="1594"/>
      <c r="CQ244" s="1594"/>
      <c r="CR244" s="1594"/>
      <c r="CS244" s="1594"/>
      <c r="CT244" s="1594"/>
      <c r="CU244" s="1594"/>
      <c r="CV244" s="1594"/>
      <c r="CW244" s="1594"/>
      <c r="CX244" s="1594"/>
      <c r="CY244" s="1594"/>
      <c r="CZ244" s="1594"/>
    </row>
    <row r="245" spans="1:104">
      <c r="A245" s="1584"/>
      <c r="B245" s="1587" t="s">
        <v>825</v>
      </c>
      <c r="C245" s="1587"/>
      <c r="D245" s="627"/>
      <c r="E245" s="1587"/>
      <c r="F245" s="545">
        <v>57251</v>
      </c>
      <c r="G245" s="1595"/>
      <c r="H245" s="241"/>
      <c r="I245" s="1595"/>
      <c r="J245" s="1595"/>
      <c r="K245" s="1595"/>
      <c r="L245" s="1595"/>
      <c r="M245" s="1595"/>
      <c r="N245" s="1595"/>
      <c r="O245" s="1595"/>
      <c r="P245" s="1595"/>
      <c r="Q245" s="563">
        <v>60916</v>
      </c>
      <c r="R245" s="1594"/>
      <c r="S245" s="1594"/>
      <c r="T245" s="1594"/>
      <c r="U245" s="648">
        <v>82829</v>
      </c>
      <c r="V245" s="499"/>
      <c r="W245" s="317"/>
      <c r="X245" s="317"/>
      <c r="Y245" s="317"/>
      <c r="Z245" s="317"/>
      <c r="AA245" s="317"/>
      <c r="AB245" s="1594"/>
      <c r="AC245" s="317"/>
      <c r="AD245" s="1594"/>
      <c r="AE245" s="1594"/>
      <c r="AF245" s="1594"/>
      <c r="AG245" s="1594"/>
      <c r="AH245" s="1594"/>
      <c r="AI245" s="1594"/>
      <c r="AJ245" s="1594"/>
      <c r="AK245" s="1594"/>
      <c r="AL245" s="1594"/>
      <c r="AM245" s="1594"/>
      <c r="AN245" s="1594"/>
      <c r="AO245" s="1594"/>
      <c r="AP245" s="1594"/>
      <c r="AQ245" s="1594"/>
      <c r="AR245" s="1594"/>
      <c r="AS245" s="1594"/>
      <c r="AT245" s="1594"/>
      <c r="AU245" s="1594"/>
      <c r="AV245" s="1594"/>
      <c r="AW245" s="1594"/>
      <c r="AX245" s="1594"/>
      <c r="AY245" s="1594"/>
      <c r="AZ245" s="1594"/>
      <c r="BA245" s="1594"/>
      <c r="BB245" s="1594"/>
      <c r="BC245" s="1594"/>
      <c r="BD245" s="1594"/>
      <c r="BE245" s="1594"/>
      <c r="BF245" s="1594"/>
      <c r="BG245" s="1594"/>
      <c r="BH245" s="1594"/>
      <c r="BI245" s="1594"/>
      <c r="BJ245" s="1594"/>
      <c r="BK245" s="1594"/>
      <c r="BL245" s="1594"/>
      <c r="BM245" s="1594"/>
      <c r="BN245" s="1594"/>
      <c r="BO245" s="1594"/>
      <c r="BP245" s="1594"/>
      <c r="BQ245" s="1594"/>
      <c r="BR245" s="1594"/>
      <c r="BS245" s="1594"/>
      <c r="BT245" s="1594"/>
      <c r="BU245" s="1594"/>
      <c r="BV245" s="1594"/>
      <c r="BW245" s="1594"/>
      <c r="BX245" s="1594"/>
      <c r="BY245" s="1594"/>
      <c r="BZ245" s="1594"/>
      <c r="CA245" s="1594"/>
      <c r="CB245" s="1594"/>
      <c r="CC245" s="1594"/>
      <c r="CD245" s="1594"/>
      <c r="CE245" s="1594"/>
      <c r="CF245" s="1594"/>
      <c r="CG245" s="1594"/>
      <c r="CH245" s="1594"/>
      <c r="CI245" s="1594"/>
      <c r="CJ245" s="1594"/>
      <c r="CK245" s="1594"/>
      <c r="CL245" s="1594"/>
      <c r="CM245" s="1594"/>
      <c r="CN245" s="1594"/>
      <c r="CO245" s="1594"/>
      <c r="CP245" s="1594"/>
      <c r="CQ245" s="1594"/>
      <c r="CR245" s="1594"/>
      <c r="CS245" s="1594"/>
      <c r="CT245" s="1594"/>
      <c r="CU245" s="1594"/>
      <c r="CV245" s="1594"/>
      <c r="CW245" s="1594"/>
      <c r="CX245" s="1594"/>
      <c r="CY245" s="1594"/>
      <c r="CZ245" s="1594"/>
    </row>
    <row r="246" spans="1:104">
      <c r="A246" s="1584"/>
      <c r="B246" s="1587"/>
      <c r="C246" s="1587"/>
      <c r="D246" s="628"/>
      <c r="E246" s="1587"/>
      <c r="F246" s="513"/>
      <c r="G246" s="1595"/>
      <c r="H246" s="241"/>
      <c r="I246" s="1595"/>
      <c r="J246" s="1595"/>
      <c r="K246" s="1595"/>
      <c r="L246" s="1595"/>
      <c r="M246" s="1595"/>
      <c r="N246" s="1595"/>
      <c r="O246" s="1595"/>
      <c r="P246" s="1595"/>
      <c r="Q246" s="317"/>
      <c r="R246" s="1594"/>
      <c r="S246" s="1594"/>
      <c r="T246" s="1594"/>
      <c r="U246" s="621"/>
      <c r="V246" s="499"/>
      <c r="W246" s="317"/>
      <c r="X246" s="317"/>
      <c r="Y246" s="317"/>
      <c r="Z246" s="317"/>
      <c r="AA246" s="317"/>
      <c r="AB246" s="1594"/>
      <c r="AC246" s="317"/>
      <c r="AD246" s="1594"/>
      <c r="AE246" s="1594"/>
      <c r="AF246" s="1594"/>
      <c r="AG246" s="1594"/>
      <c r="AH246" s="1594"/>
      <c r="AI246" s="1594"/>
      <c r="AJ246" s="1594"/>
      <c r="AK246" s="1594"/>
      <c r="AL246" s="1594"/>
      <c r="AM246" s="1594"/>
      <c r="AN246" s="1594"/>
      <c r="AO246" s="1594"/>
      <c r="AP246" s="1594"/>
      <c r="AQ246" s="1594"/>
      <c r="AR246" s="1594"/>
      <c r="AS246" s="1594"/>
      <c r="AT246" s="1594"/>
      <c r="AU246" s="1594"/>
      <c r="AV246" s="1594"/>
      <c r="AW246" s="1594"/>
      <c r="AX246" s="1594"/>
      <c r="AY246" s="1594"/>
      <c r="AZ246" s="1594"/>
      <c r="BA246" s="1594"/>
      <c r="BB246" s="1594"/>
      <c r="BC246" s="1594"/>
      <c r="BD246" s="1594"/>
      <c r="BE246" s="1594"/>
      <c r="BF246" s="1594"/>
      <c r="BG246" s="1594"/>
      <c r="BH246" s="1594"/>
      <c r="BI246" s="1594"/>
      <c r="BJ246" s="1594"/>
      <c r="BK246" s="1594"/>
      <c r="BL246" s="1594"/>
      <c r="BM246" s="1594"/>
      <c r="BN246" s="1594"/>
      <c r="BO246" s="1594"/>
      <c r="BP246" s="1594"/>
      <c r="BQ246" s="1594"/>
      <c r="BR246" s="1594"/>
      <c r="BS246" s="1594"/>
      <c r="BT246" s="1594"/>
      <c r="BU246" s="1594"/>
      <c r="BV246" s="1594"/>
      <c r="BW246" s="1594"/>
      <c r="BX246" s="1594"/>
      <c r="BY246" s="1594"/>
      <c r="BZ246" s="1594"/>
      <c r="CA246" s="1594"/>
      <c r="CB246" s="1594"/>
      <c r="CC246" s="1594"/>
      <c r="CD246" s="1594"/>
      <c r="CE246" s="1594"/>
      <c r="CF246" s="1594"/>
      <c r="CG246" s="1594"/>
      <c r="CH246" s="1594"/>
      <c r="CI246" s="1594"/>
      <c r="CJ246" s="1594"/>
      <c r="CK246" s="1594"/>
      <c r="CL246" s="1594"/>
      <c r="CM246" s="1594"/>
      <c r="CN246" s="1594"/>
      <c r="CO246" s="1594"/>
      <c r="CP246" s="1594"/>
      <c r="CQ246" s="1594"/>
      <c r="CR246" s="1594"/>
      <c r="CS246" s="1594"/>
      <c r="CT246" s="1594"/>
      <c r="CU246" s="1594"/>
      <c r="CV246" s="1594"/>
      <c r="CW246" s="1594"/>
      <c r="CX246" s="1594"/>
      <c r="CY246" s="1594"/>
      <c r="CZ246" s="1594"/>
    </row>
    <row r="247" spans="1:104" ht="13.5" thickBot="1">
      <c r="A247" s="1584"/>
      <c r="B247" s="150" t="s">
        <v>684</v>
      </c>
      <c r="C247" s="150"/>
      <c r="D247" s="285">
        <f>SUM(D249:D252)</f>
        <v>552420</v>
      </c>
      <c r="E247" s="150"/>
      <c r="F247" s="285">
        <f>SUM(F249:F252)</f>
        <v>509236</v>
      </c>
      <c r="G247" s="1595"/>
      <c r="H247" s="241"/>
      <c r="I247" s="1595"/>
      <c r="J247" s="1595"/>
      <c r="K247" s="1595"/>
      <c r="L247" s="1595"/>
      <c r="M247" s="1595"/>
      <c r="N247" s="1595"/>
      <c r="O247" s="1595"/>
      <c r="P247" s="1595"/>
      <c r="Q247" s="317">
        <f>SUM(Q249:Q252)</f>
        <v>514342</v>
      </c>
      <c r="R247" s="1594"/>
      <c r="S247" s="1594"/>
      <c r="T247" s="1594"/>
      <c r="U247" s="621">
        <f>SUM(U249:U252)</f>
        <v>473468.96</v>
      </c>
      <c r="V247" s="499"/>
      <c r="W247" s="317"/>
      <c r="X247" s="317"/>
      <c r="Y247" s="317"/>
      <c r="Z247" s="317"/>
      <c r="AA247" s="317"/>
      <c r="AB247" s="1594"/>
      <c r="AC247" s="317"/>
      <c r="AD247" s="1594"/>
      <c r="AE247" s="1594"/>
      <c r="AF247" s="1594"/>
      <c r="AG247" s="1594"/>
      <c r="AH247" s="1594"/>
      <c r="AI247" s="1594"/>
      <c r="AJ247" s="1594"/>
      <c r="AK247" s="1594"/>
      <c r="AL247" s="1594"/>
      <c r="AM247" s="534"/>
    </row>
    <row r="248" spans="1:104" ht="13.5" thickTop="1">
      <c r="A248" s="1584"/>
      <c r="B248" s="150"/>
      <c r="C248" s="150"/>
      <c r="D248" s="151"/>
      <c r="E248" s="150"/>
      <c r="F248" s="152"/>
      <c r="G248" s="1595"/>
      <c r="H248" s="241"/>
      <c r="I248" s="1595"/>
      <c r="J248" s="1595"/>
      <c r="K248" s="1595"/>
      <c r="L248" s="1595"/>
      <c r="M248" s="1595"/>
      <c r="N248" s="1595"/>
      <c r="O248" s="1595"/>
      <c r="P248" s="1595"/>
      <c r="Q248" s="317"/>
      <c r="R248" s="1594"/>
      <c r="S248" s="1594"/>
      <c r="T248" s="1594"/>
      <c r="U248" s="621"/>
      <c r="V248" s="499"/>
      <c r="W248" s="317"/>
      <c r="X248" s="317"/>
      <c r="Y248" s="317"/>
      <c r="Z248" s="317"/>
      <c r="AA248" s="317"/>
      <c r="AB248" s="1594"/>
      <c r="AC248" s="317"/>
      <c r="AD248" s="1594"/>
      <c r="AE248" s="1594"/>
      <c r="AF248" s="1594"/>
      <c r="AG248" s="1594"/>
      <c r="AH248" s="1594"/>
      <c r="AI248" s="1594"/>
      <c r="AJ248" s="1594"/>
      <c r="AK248" s="1594"/>
      <c r="AL248" s="1594"/>
      <c r="AM248" s="534"/>
    </row>
    <row r="249" spans="1:104">
      <c r="A249" s="1584"/>
      <c r="B249" s="1587" t="s">
        <v>824</v>
      </c>
      <c r="C249" s="1587"/>
      <c r="D249" s="630">
        <v>462420</v>
      </c>
      <c r="E249" s="1587"/>
      <c r="F249" s="543">
        <v>419236</v>
      </c>
      <c r="G249" s="1595"/>
      <c r="H249" s="241"/>
      <c r="I249" s="1595"/>
      <c r="J249" s="1595"/>
      <c r="K249" s="1595"/>
      <c r="L249" s="1595"/>
      <c r="M249" s="1595"/>
      <c r="N249" s="1595"/>
      <c r="O249" s="1595"/>
      <c r="P249" s="1595"/>
      <c r="Q249" s="624">
        <v>373792</v>
      </c>
      <c r="R249" s="1594"/>
      <c r="S249" s="1594"/>
      <c r="T249" s="1594"/>
      <c r="U249" s="625">
        <v>323076.96000000002</v>
      </c>
      <c r="V249" s="499"/>
      <c r="W249" s="317"/>
      <c r="X249" s="317"/>
      <c r="Y249" s="317"/>
      <c r="Z249" s="317"/>
      <c r="AA249" s="317"/>
      <c r="AB249" s="1594"/>
      <c r="AC249" s="317"/>
      <c r="AD249" s="1594"/>
      <c r="AE249" s="1594"/>
      <c r="AF249" s="1594"/>
      <c r="AG249" s="1594"/>
      <c r="AH249" s="1594"/>
      <c r="AI249" s="1594"/>
      <c r="AJ249" s="1594"/>
      <c r="AK249" s="1594"/>
      <c r="AL249" s="1594"/>
      <c r="AM249" s="534"/>
    </row>
    <row r="250" spans="1:104">
      <c r="A250" s="1584"/>
      <c r="B250" s="1587" t="s">
        <v>1337</v>
      </c>
      <c r="C250" s="1587"/>
      <c r="D250" s="632">
        <v>90000</v>
      </c>
      <c r="E250" s="1587"/>
      <c r="F250" s="215">
        <v>90000</v>
      </c>
      <c r="G250" s="1595"/>
      <c r="H250" s="241"/>
      <c r="I250" s="1595"/>
      <c r="J250" s="1595"/>
      <c r="K250" s="1595"/>
      <c r="L250" s="1595"/>
      <c r="M250" s="1595"/>
      <c r="N250" s="1595"/>
      <c r="O250" s="1595"/>
      <c r="P250" s="1595"/>
      <c r="Q250" s="539">
        <v>91200</v>
      </c>
      <c r="R250" s="1594"/>
      <c r="S250" s="1594"/>
      <c r="T250" s="1594"/>
      <c r="U250" s="626">
        <v>108000</v>
      </c>
      <c r="V250" s="499"/>
      <c r="W250" s="317"/>
      <c r="X250" s="317"/>
      <c r="Y250" s="317"/>
      <c r="Z250" s="317"/>
      <c r="AA250" s="317"/>
      <c r="AB250" s="1594"/>
      <c r="AC250" s="317"/>
      <c r="AD250" s="1594"/>
      <c r="AE250" s="1594"/>
      <c r="AF250" s="1594"/>
      <c r="AG250" s="1594"/>
      <c r="AH250" s="1594"/>
      <c r="AI250" s="1594"/>
      <c r="AJ250" s="1594"/>
      <c r="AK250" s="1594"/>
      <c r="AL250" s="1594"/>
      <c r="AM250" s="534"/>
    </row>
    <row r="251" spans="1:104">
      <c r="A251" s="1584"/>
      <c r="B251" s="1587" t="s">
        <v>1338</v>
      </c>
      <c r="C251" s="1587"/>
      <c r="D251" s="632"/>
      <c r="E251" s="1587"/>
      <c r="F251" s="215"/>
      <c r="G251" s="1595"/>
      <c r="H251" s="241"/>
      <c r="I251" s="1595"/>
      <c r="J251" s="1595"/>
      <c r="K251" s="1595"/>
      <c r="L251" s="1595"/>
      <c r="M251" s="1595"/>
      <c r="N251" s="1595"/>
      <c r="O251" s="1595"/>
      <c r="P251" s="1595"/>
      <c r="Q251" s="539">
        <v>0</v>
      </c>
      <c r="R251" s="1594"/>
      <c r="S251" s="1594"/>
      <c r="T251" s="1594"/>
      <c r="U251" s="626"/>
      <c r="V251" s="499"/>
      <c r="W251" s="317"/>
      <c r="X251" s="317"/>
      <c r="Y251" s="317"/>
      <c r="Z251" s="317"/>
      <c r="AA251" s="317"/>
      <c r="AB251" s="1594"/>
      <c r="AC251" s="317"/>
      <c r="AD251" s="1594"/>
      <c r="AE251" s="1594"/>
      <c r="AF251" s="1594"/>
      <c r="AG251" s="1594"/>
      <c r="AH251" s="1594"/>
      <c r="AI251" s="1594"/>
      <c r="AJ251" s="1594"/>
      <c r="AK251" s="1594"/>
      <c r="AL251" s="1594"/>
      <c r="AM251" s="534"/>
    </row>
    <row r="252" spans="1:104">
      <c r="A252" s="1584"/>
      <c r="B252" s="1587" t="s">
        <v>825</v>
      </c>
      <c r="C252" s="1587"/>
      <c r="D252" s="627"/>
      <c r="E252" s="1587"/>
      <c r="F252" s="545"/>
      <c r="G252" s="1595"/>
      <c r="H252" s="241"/>
      <c r="I252" s="1595"/>
      <c r="J252" s="1595"/>
      <c r="K252" s="1595"/>
      <c r="L252" s="1595"/>
      <c r="M252" s="1595"/>
      <c r="N252" s="1595"/>
      <c r="O252" s="1595"/>
      <c r="P252" s="1595"/>
      <c r="Q252" s="563">
        <v>49350</v>
      </c>
      <c r="R252" s="1594"/>
      <c r="S252" s="1594"/>
      <c r="T252" s="1594"/>
      <c r="U252" s="648">
        <v>42392</v>
      </c>
      <c r="V252" s="499"/>
      <c r="W252" s="317"/>
      <c r="X252" s="317"/>
      <c r="Y252" s="317"/>
      <c r="Z252" s="317"/>
      <c r="AA252" s="317"/>
      <c r="AB252" s="1594"/>
      <c r="AC252" s="317"/>
      <c r="AD252" s="1594"/>
      <c r="AE252" s="1594"/>
      <c r="AF252" s="1594"/>
      <c r="AG252" s="1594"/>
      <c r="AH252" s="1594"/>
      <c r="AI252" s="1594"/>
      <c r="AJ252" s="1594"/>
      <c r="AK252" s="1594"/>
      <c r="AL252" s="1594"/>
      <c r="AM252" s="534"/>
    </row>
    <row r="253" spans="1:104">
      <c r="A253" s="1584"/>
      <c r="B253" s="1587"/>
      <c r="C253" s="1587"/>
      <c r="D253" s="628"/>
      <c r="E253" s="1587"/>
      <c r="F253" s="513"/>
      <c r="G253" s="1595"/>
      <c r="H253" s="241"/>
      <c r="I253" s="1595"/>
      <c r="J253" s="1595"/>
      <c r="K253" s="1595"/>
      <c r="L253" s="1595"/>
      <c r="M253" s="1595"/>
      <c r="N253" s="1595"/>
      <c r="O253" s="1595"/>
      <c r="P253" s="1595"/>
      <c r="Q253" s="317"/>
      <c r="R253" s="1594"/>
      <c r="S253" s="1594"/>
      <c r="T253" s="1594"/>
      <c r="U253" s="621"/>
      <c r="V253" s="499"/>
      <c r="W253" s="317"/>
      <c r="X253" s="317"/>
      <c r="Y253" s="317"/>
      <c r="Z253" s="317"/>
      <c r="AA253" s="317"/>
      <c r="AB253" s="1594"/>
      <c r="AC253" s="317"/>
      <c r="AD253" s="1594"/>
      <c r="AE253" s="1594"/>
      <c r="AF253" s="1594"/>
      <c r="AG253" s="1594"/>
      <c r="AH253" s="1594"/>
      <c r="AI253" s="1594"/>
      <c r="AJ253" s="1594"/>
      <c r="AK253" s="1594"/>
      <c r="AL253" s="1594"/>
      <c r="AM253" s="534"/>
    </row>
    <row r="254" spans="1:104" ht="13.5" thickBot="1">
      <c r="A254" s="1584"/>
      <c r="B254" s="150" t="s">
        <v>685</v>
      </c>
      <c r="C254" s="150"/>
      <c r="D254" s="154">
        <f>SUM(D256:D259)</f>
        <v>552420</v>
      </c>
      <c r="E254" s="150"/>
      <c r="F254" s="154">
        <f>SUM(F256:F259)</f>
        <v>536261</v>
      </c>
      <c r="G254" s="1595"/>
      <c r="H254" s="241"/>
      <c r="I254" s="1595"/>
      <c r="J254" s="1595"/>
      <c r="K254" s="1595"/>
      <c r="L254" s="1595"/>
      <c r="M254" s="1595"/>
      <c r="N254" s="1595"/>
      <c r="O254" s="1595"/>
      <c r="P254" s="1595"/>
      <c r="Q254" s="317">
        <f>SUM(Q256:Q259)</f>
        <v>477798</v>
      </c>
      <c r="R254" s="1594"/>
      <c r="S254" s="1594"/>
      <c r="T254" s="1594"/>
      <c r="U254" s="621">
        <f>SUM(U256:U259)</f>
        <v>483006.24</v>
      </c>
      <c r="V254" s="499"/>
      <c r="W254" s="317"/>
      <c r="X254" s="317"/>
      <c r="Y254" s="317"/>
      <c r="Z254" s="317"/>
      <c r="AA254" s="317"/>
      <c r="AB254" s="1594"/>
      <c r="AC254" s="317"/>
      <c r="AD254" s="1594"/>
      <c r="AE254" s="1594"/>
      <c r="AF254" s="1594"/>
      <c r="AG254" s="1594"/>
      <c r="AH254" s="1594"/>
      <c r="AI254" s="1594"/>
      <c r="AJ254" s="1594"/>
      <c r="AK254" s="1594"/>
      <c r="AL254" s="1594"/>
      <c r="AM254" s="534"/>
    </row>
    <row r="255" spans="1:104" ht="13.5" thickTop="1">
      <c r="A255" s="1584"/>
      <c r="B255" s="150"/>
      <c r="C255" s="150"/>
      <c r="D255" s="151"/>
      <c r="E255" s="150"/>
      <c r="F255" s="151"/>
      <c r="G255" s="1595"/>
      <c r="H255" s="241"/>
      <c r="I255" s="1595"/>
      <c r="J255" s="1595"/>
      <c r="K255" s="1595"/>
      <c r="L255" s="1595"/>
      <c r="M255" s="1595"/>
      <c r="N255" s="1595"/>
      <c r="O255" s="1595"/>
      <c r="P255" s="1595"/>
      <c r="Q255" s="317"/>
      <c r="R255" s="1594"/>
      <c r="S255" s="1594"/>
      <c r="T255" s="1594"/>
      <c r="U255" s="621"/>
      <c r="V255" s="499"/>
      <c r="W255" s="317"/>
      <c r="X255" s="317"/>
      <c r="Y255" s="317"/>
      <c r="Z255" s="317"/>
      <c r="AA255" s="317"/>
      <c r="AB255" s="1594"/>
      <c r="AC255" s="317"/>
      <c r="AD255" s="1594"/>
      <c r="AE255" s="1594"/>
      <c r="AF255" s="1594"/>
      <c r="AG255" s="1594"/>
      <c r="AH255" s="1594"/>
      <c r="AI255" s="1594"/>
      <c r="AJ255" s="1594"/>
      <c r="AK255" s="1594"/>
      <c r="AL255" s="1594"/>
      <c r="AM255" s="534"/>
    </row>
    <row r="256" spans="1:104">
      <c r="A256" s="1584"/>
      <c r="B256" s="1587" t="s">
        <v>824</v>
      </c>
      <c r="C256" s="1587"/>
      <c r="D256" s="630">
        <v>462420</v>
      </c>
      <c r="E256" s="1587"/>
      <c r="F256" s="543">
        <v>419236</v>
      </c>
      <c r="G256" s="1595"/>
      <c r="H256" s="241"/>
      <c r="I256" s="1595"/>
      <c r="J256" s="1595"/>
      <c r="K256" s="1595"/>
      <c r="L256" s="1595"/>
      <c r="M256" s="1595"/>
      <c r="N256" s="1595"/>
      <c r="O256" s="1595"/>
      <c r="P256" s="1595"/>
      <c r="Q256" s="624">
        <v>356699</v>
      </c>
      <c r="R256" s="1594"/>
      <c r="S256" s="1594"/>
      <c r="T256" s="1594"/>
      <c r="U256" s="625">
        <v>338406.24</v>
      </c>
      <c r="V256" s="499"/>
      <c r="W256" s="317"/>
      <c r="X256" s="317"/>
      <c r="Y256" s="317"/>
      <c r="Z256" s="317"/>
      <c r="AA256" s="317"/>
      <c r="AB256" s="1594"/>
      <c r="AC256" s="317"/>
      <c r="AD256" s="1594"/>
      <c r="AE256" s="1594"/>
      <c r="AF256" s="1594"/>
      <c r="AG256" s="1594"/>
      <c r="AH256" s="1594"/>
      <c r="AI256" s="1594"/>
      <c r="AJ256" s="1594"/>
      <c r="AK256" s="1594"/>
      <c r="AL256" s="1594"/>
      <c r="AM256" s="534"/>
    </row>
    <row r="257" spans="1:39">
      <c r="A257" s="1584"/>
      <c r="B257" s="1587" t="s">
        <v>1337</v>
      </c>
      <c r="C257" s="1587"/>
      <c r="D257" s="632">
        <v>90000</v>
      </c>
      <c r="E257" s="1587"/>
      <c r="F257" s="215">
        <v>90000</v>
      </c>
      <c r="G257" s="1595"/>
      <c r="H257" s="241"/>
      <c r="I257" s="1595"/>
      <c r="J257" s="1595"/>
      <c r="K257" s="1595"/>
      <c r="L257" s="1595"/>
      <c r="M257" s="1595"/>
      <c r="N257" s="1595"/>
      <c r="O257" s="1595"/>
      <c r="P257" s="1595"/>
      <c r="Q257" s="539">
        <v>90000</v>
      </c>
      <c r="R257" s="1594"/>
      <c r="S257" s="1594"/>
      <c r="T257" s="1594"/>
      <c r="U257" s="626">
        <v>108000</v>
      </c>
      <c r="V257" s="499"/>
      <c r="W257" s="317"/>
      <c r="X257" s="317"/>
      <c r="Y257" s="317"/>
      <c r="Z257" s="317"/>
      <c r="AA257" s="317"/>
      <c r="AB257" s="1594"/>
      <c r="AC257" s="317"/>
      <c r="AD257" s="1594"/>
      <c r="AE257" s="1594"/>
      <c r="AF257" s="1594"/>
      <c r="AG257" s="1594"/>
      <c r="AH257" s="1594"/>
      <c r="AI257" s="1594"/>
      <c r="AJ257" s="1594"/>
      <c r="AK257" s="1594"/>
      <c r="AL257" s="1594"/>
      <c r="AM257" s="534"/>
    </row>
    <row r="258" spans="1:39">
      <c r="A258" s="1584"/>
      <c r="B258" s="1587" t="s">
        <v>1338</v>
      </c>
      <c r="C258" s="1587"/>
      <c r="D258" s="632"/>
      <c r="E258" s="1587"/>
      <c r="F258" s="215"/>
      <c r="G258" s="1595"/>
      <c r="H258" s="241"/>
      <c r="I258" s="1595"/>
      <c r="J258" s="1595"/>
      <c r="K258" s="1595"/>
      <c r="L258" s="1595"/>
      <c r="M258" s="1595"/>
      <c r="N258" s="1595"/>
      <c r="O258" s="1595"/>
      <c r="P258" s="1595"/>
      <c r="Q258" s="539">
        <v>0</v>
      </c>
      <c r="R258" s="1594"/>
      <c r="S258" s="1594"/>
      <c r="T258" s="1594"/>
      <c r="U258" s="626"/>
      <c r="V258" s="499"/>
      <c r="W258" s="317"/>
      <c r="X258" s="317"/>
      <c r="Y258" s="317"/>
      <c r="Z258" s="317"/>
      <c r="AA258" s="317"/>
      <c r="AB258" s="1594"/>
      <c r="AC258" s="317"/>
      <c r="AD258" s="1594"/>
      <c r="AE258" s="1594"/>
      <c r="AF258" s="1594"/>
      <c r="AG258" s="1594"/>
      <c r="AH258" s="1594"/>
      <c r="AI258" s="1594"/>
      <c r="AJ258" s="1594"/>
      <c r="AK258" s="1594"/>
      <c r="AL258" s="1594"/>
      <c r="AM258" s="534"/>
    </row>
    <row r="259" spans="1:39">
      <c r="A259" s="1584"/>
      <c r="B259" s="1587" t="s">
        <v>825</v>
      </c>
      <c r="C259" s="1587"/>
      <c r="D259" s="627"/>
      <c r="E259" s="1587"/>
      <c r="F259" s="545">
        <v>27025</v>
      </c>
      <c r="G259" s="1595"/>
      <c r="H259" s="241"/>
      <c r="I259" s="1595"/>
      <c r="J259" s="1595"/>
      <c r="K259" s="1595"/>
      <c r="L259" s="1595"/>
      <c r="M259" s="1595"/>
      <c r="N259" s="1595"/>
      <c r="O259" s="1595"/>
      <c r="P259" s="1595"/>
      <c r="Q259" s="563">
        <v>31099</v>
      </c>
      <c r="R259" s="1594"/>
      <c r="S259" s="1594"/>
      <c r="T259" s="1594"/>
      <c r="U259" s="648">
        <v>36600</v>
      </c>
      <c r="V259" s="499"/>
      <c r="W259" s="317"/>
      <c r="X259" s="317"/>
      <c r="Y259" s="317"/>
      <c r="Z259" s="317"/>
      <c r="AA259" s="317"/>
      <c r="AB259" s="1594"/>
      <c r="AC259" s="317"/>
      <c r="AD259" s="1594"/>
      <c r="AE259" s="1594"/>
      <c r="AF259" s="1594"/>
      <c r="AG259" s="1594"/>
      <c r="AH259" s="1594"/>
      <c r="AI259" s="1594"/>
      <c r="AJ259" s="1594"/>
      <c r="AK259" s="1594"/>
      <c r="AL259" s="1594"/>
      <c r="AM259" s="534"/>
    </row>
    <row r="260" spans="1:39">
      <c r="A260" s="1584"/>
      <c r="B260" s="1587"/>
      <c r="C260" s="1587"/>
      <c r="D260" s="628"/>
      <c r="E260" s="1587"/>
      <c r="F260" s="513"/>
      <c r="G260" s="1595"/>
      <c r="H260" s="241"/>
      <c r="I260" s="1595"/>
      <c r="J260" s="1595"/>
      <c r="K260" s="1595"/>
      <c r="L260" s="1595"/>
      <c r="M260" s="1595"/>
      <c r="N260" s="1595"/>
      <c r="O260" s="1595"/>
      <c r="P260" s="1595"/>
      <c r="Q260" s="317"/>
      <c r="R260" s="1594"/>
      <c r="S260" s="1594"/>
      <c r="T260" s="1594"/>
      <c r="U260" s="621"/>
      <c r="V260" s="499"/>
      <c r="W260" s="317"/>
      <c r="X260" s="317"/>
      <c r="Y260" s="317"/>
      <c r="Z260" s="317"/>
      <c r="AA260" s="317"/>
      <c r="AB260" s="1594"/>
      <c r="AC260" s="317"/>
      <c r="AD260" s="1594"/>
      <c r="AE260" s="1594"/>
      <c r="AF260" s="1594"/>
      <c r="AG260" s="1594"/>
      <c r="AH260" s="1594"/>
      <c r="AI260" s="1594"/>
      <c r="AJ260" s="1594"/>
      <c r="AK260" s="1594"/>
      <c r="AL260" s="1594"/>
      <c r="AM260" s="534"/>
    </row>
    <row r="261" spans="1:39" ht="13.5" thickBot="1">
      <c r="A261" s="1584"/>
      <c r="B261" s="150" t="s">
        <v>686</v>
      </c>
      <c r="C261" s="150"/>
      <c r="D261" s="154">
        <f>SUM(D263:D266)</f>
        <v>552420</v>
      </c>
      <c r="E261" s="150"/>
      <c r="F261" s="154">
        <f>SUM(F263:F266)</f>
        <v>540952</v>
      </c>
      <c r="G261" s="1595"/>
      <c r="H261" s="241"/>
      <c r="I261" s="1595"/>
      <c r="J261" s="1595"/>
      <c r="K261" s="1595"/>
      <c r="L261" s="1595"/>
      <c r="M261" s="1595"/>
      <c r="N261" s="1595"/>
      <c r="O261" s="1595"/>
      <c r="P261" s="1595"/>
      <c r="Q261" s="317">
        <f>SUM(Q263:Q266)</f>
        <v>492645</v>
      </c>
      <c r="R261" s="1594"/>
      <c r="S261" s="1594"/>
      <c r="T261" s="1594"/>
      <c r="U261" s="621">
        <f>SUM(U263:U266)</f>
        <v>487261.24</v>
      </c>
      <c r="V261" s="499"/>
      <c r="W261" s="317"/>
      <c r="X261" s="317"/>
      <c r="Y261" s="317"/>
      <c r="Z261" s="317"/>
      <c r="AA261" s="317"/>
      <c r="AB261" s="1594"/>
      <c r="AC261" s="317"/>
      <c r="AD261" s="1594"/>
      <c r="AE261" s="1594"/>
      <c r="AF261" s="1594"/>
      <c r="AG261" s="1594"/>
      <c r="AH261" s="1594"/>
      <c r="AI261" s="1594"/>
      <c r="AJ261" s="1594"/>
      <c r="AK261" s="1594"/>
      <c r="AL261" s="1594"/>
      <c r="AM261" s="534"/>
    </row>
    <row r="262" spans="1:39" ht="13.5" thickTop="1">
      <c r="A262" s="1584"/>
      <c r="B262" s="150"/>
      <c r="C262" s="150"/>
      <c r="D262" s="151"/>
      <c r="E262" s="150"/>
      <c r="F262" s="151"/>
      <c r="G262" s="1595"/>
      <c r="H262" s="241"/>
      <c r="I262" s="1595"/>
      <c r="J262" s="1595"/>
      <c r="K262" s="1595"/>
      <c r="L262" s="1595"/>
      <c r="M262" s="1595"/>
      <c r="N262" s="1595"/>
      <c r="O262" s="1595"/>
      <c r="P262" s="1595"/>
      <c r="Q262" s="317"/>
      <c r="R262" s="1594"/>
      <c r="S262" s="1594"/>
      <c r="T262" s="1594"/>
      <c r="U262" s="621"/>
      <c r="V262" s="499"/>
      <c r="W262" s="317"/>
      <c r="X262" s="317"/>
      <c r="Y262" s="317"/>
      <c r="Z262" s="317"/>
      <c r="AA262" s="317"/>
      <c r="AB262" s="1594"/>
      <c r="AC262" s="317"/>
      <c r="AD262" s="1594"/>
      <c r="AE262" s="1594"/>
      <c r="AF262" s="1594"/>
      <c r="AG262" s="1594"/>
      <c r="AH262" s="1594"/>
      <c r="AI262" s="1594"/>
      <c r="AJ262" s="1594"/>
      <c r="AK262" s="1594"/>
      <c r="AL262" s="1594"/>
      <c r="AM262" s="534"/>
    </row>
    <row r="263" spans="1:39">
      <c r="A263" s="1584"/>
      <c r="B263" s="1587" t="s">
        <v>824</v>
      </c>
      <c r="C263" s="1587"/>
      <c r="D263" s="630">
        <v>504420</v>
      </c>
      <c r="E263" s="1587"/>
      <c r="F263" s="543">
        <v>419236</v>
      </c>
      <c r="G263" s="1595"/>
      <c r="H263" s="241"/>
      <c r="I263" s="1595"/>
      <c r="J263" s="1595"/>
      <c r="K263" s="1595"/>
      <c r="L263" s="1595"/>
      <c r="M263" s="1595"/>
      <c r="N263" s="1595"/>
      <c r="O263" s="1595"/>
      <c r="P263" s="1595"/>
      <c r="Q263" s="624">
        <v>356699</v>
      </c>
      <c r="R263" s="1594"/>
      <c r="S263" s="1594"/>
      <c r="T263" s="1594"/>
      <c r="U263" s="625">
        <v>338406.24</v>
      </c>
      <c r="V263" s="499"/>
      <c r="W263" s="317"/>
      <c r="X263" s="317"/>
      <c r="Y263" s="317"/>
      <c r="Z263" s="317"/>
      <c r="AA263" s="317"/>
      <c r="AB263" s="1594"/>
      <c r="AC263" s="317"/>
      <c r="AD263" s="1594"/>
      <c r="AE263" s="1594"/>
      <c r="AF263" s="1594"/>
      <c r="AG263" s="1594"/>
      <c r="AH263" s="1594"/>
      <c r="AI263" s="1594"/>
      <c r="AJ263" s="1594"/>
      <c r="AK263" s="1594"/>
      <c r="AL263" s="1594"/>
      <c r="AM263" s="534"/>
    </row>
    <row r="264" spans="1:39">
      <c r="A264" s="1584"/>
      <c r="B264" s="1587" t="s">
        <v>1337</v>
      </c>
      <c r="C264" s="1587"/>
      <c r="D264" s="632">
        <v>48000</v>
      </c>
      <c r="E264" s="1587"/>
      <c r="F264" s="215">
        <v>90000</v>
      </c>
      <c r="G264" s="1595"/>
      <c r="H264" s="241"/>
      <c r="I264" s="1595"/>
      <c r="J264" s="1595"/>
      <c r="K264" s="1595"/>
      <c r="L264" s="1595"/>
      <c r="M264" s="1595"/>
      <c r="N264" s="1595"/>
      <c r="O264" s="1595"/>
      <c r="P264" s="1595"/>
      <c r="Q264" s="539">
        <v>90000</v>
      </c>
      <c r="R264" s="1594"/>
      <c r="S264" s="1594"/>
      <c r="T264" s="1594"/>
      <c r="U264" s="626">
        <v>108000</v>
      </c>
      <c r="V264" s="499"/>
      <c r="W264" s="317"/>
      <c r="X264" s="317"/>
      <c r="Y264" s="317"/>
      <c r="Z264" s="317"/>
      <c r="AA264" s="317"/>
      <c r="AB264" s="1594"/>
      <c r="AC264" s="317"/>
      <c r="AD264" s="1594"/>
      <c r="AE264" s="1594"/>
      <c r="AF264" s="1594"/>
      <c r="AG264" s="1594"/>
      <c r="AH264" s="1594"/>
      <c r="AI264" s="1594"/>
      <c r="AJ264" s="1594"/>
      <c r="AK264" s="1594"/>
      <c r="AL264" s="1594"/>
      <c r="AM264" s="534"/>
    </row>
    <row r="265" spans="1:39">
      <c r="A265" s="1584"/>
      <c r="B265" s="1587" t="s">
        <v>1338</v>
      </c>
      <c r="C265" s="1587"/>
      <c r="D265" s="632"/>
      <c r="E265" s="1587"/>
      <c r="F265" s="215"/>
      <c r="G265" s="1595"/>
      <c r="H265" s="241"/>
      <c r="I265" s="1595"/>
      <c r="J265" s="1595"/>
      <c r="K265" s="1595"/>
      <c r="L265" s="1595"/>
      <c r="M265" s="1595"/>
      <c r="N265" s="1595"/>
      <c r="O265" s="1595"/>
      <c r="P265" s="1595"/>
      <c r="Q265" s="539">
        <v>0</v>
      </c>
      <c r="R265" s="1594"/>
      <c r="S265" s="1594"/>
      <c r="T265" s="1594"/>
      <c r="U265" s="626"/>
      <c r="V265" s="499"/>
      <c r="W265" s="317"/>
      <c r="X265" s="317"/>
      <c r="Y265" s="317"/>
      <c r="Z265" s="317"/>
      <c r="AA265" s="317"/>
      <c r="AB265" s="1594"/>
      <c r="AC265" s="317"/>
      <c r="AD265" s="1594"/>
      <c r="AE265" s="1594"/>
      <c r="AF265" s="1594"/>
      <c r="AG265" s="1594"/>
      <c r="AH265" s="1594"/>
      <c r="AI265" s="1594"/>
      <c r="AJ265" s="1594"/>
      <c r="AK265" s="1594"/>
      <c r="AL265" s="1594"/>
      <c r="AM265" s="534"/>
    </row>
    <row r="266" spans="1:39">
      <c r="A266" s="1584"/>
      <c r="B266" s="1587" t="s">
        <v>825</v>
      </c>
      <c r="C266" s="1587"/>
      <c r="D266" s="627"/>
      <c r="E266" s="1587"/>
      <c r="F266" s="545">
        <v>31716</v>
      </c>
      <c r="G266" s="1595"/>
      <c r="H266" s="241"/>
      <c r="I266" s="1595"/>
      <c r="J266" s="1595"/>
      <c r="K266" s="1595"/>
      <c r="L266" s="1595"/>
      <c r="M266" s="1595"/>
      <c r="N266" s="1595"/>
      <c r="O266" s="1595"/>
      <c r="P266" s="1595"/>
      <c r="Q266" s="563">
        <v>45946</v>
      </c>
      <c r="R266" s="1594"/>
      <c r="S266" s="1594"/>
      <c r="T266" s="1594"/>
      <c r="U266" s="648">
        <v>40855</v>
      </c>
      <c r="V266" s="499"/>
      <c r="W266" s="317"/>
      <c r="X266" s="317"/>
      <c r="Y266" s="317"/>
      <c r="Z266" s="317"/>
      <c r="AA266" s="317"/>
      <c r="AB266" s="1594"/>
      <c r="AC266" s="317"/>
      <c r="AD266" s="1594"/>
      <c r="AE266" s="1594"/>
      <c r="AF266" s="1594"/>
      <c r="AG266" s="1594"/>
      <c r="AH266" s="1594"/>
      <c r="AI266" s="1594"/>
      <c r="AJ266" s="1594"/>
      <c r="AK266" s="1594"/>
      <c r="AL266" s="1594"/>
      <c r="AM266" s="534"/>
    </row>
    <row r="267" spans="1:39">
      <c r="A267" s="1584"/>
      <c r="B267" s="1587"/>
      <c r="C267" s="1587"/>
      <c r="D267" s="628"/>
      <c r="E267" s="1587"/>
      <c r="F267" s="513"/>
      <c r="G267" s="1595"/>
      <c r="H267" s="241"/>
      <c r="I267" s="1595"/>
      <c r="J267" s="1595"/>
      <c r="K267" s="1595"/>
      <c r="L267" s="1595"/>
      <c r="M267" s="1595"/>
      <c r="N267" s="1595"/>
      <c r="O267" s="1595"/>
      <c r="P267" s="1595"/>
      <c r="Q267" s="317"/>
      <c r="R267" s="1594"/>
      <c r="S267" s="1594"/>
      <c r="T267" s="1594"/>
      <c r="U267" s="621"/>
      <c r="V267" s="499"/>
      <c r="W267" s="317"/>
      <c r="X267" s="317"/>
      <c r="Y267" s="317"/>
      <c r="Z267" s="317"/>
      <c r="AA267" s="317"/>
      <c r="AB267" s="1594"/>
      <c r="AC267" s="317"/>
      <c r="AD267" s="1594"/>
      <c r="AE267" s="1594"/>
      <c r="AF267" s="1594"/>
      <c r="AG267" s="1594"/>
      <c r="AH267" s="1594"/>
      <c r="AI267" s="1594"/>
      <c r="AJ267" s="1594"/>
      <c r="AK267" s="1594"/>
      <c r="AL267" s="1594"/>
      <c r="AM267" s="534"/>
    </row>
    <row r="268" spans="1:39" ht="13.5" thickBot="1">
      <c r="A268" s="1584"/>
      <c r="B268" s="142" t="s">
        <v>1108</v>
      </c>
      <c r="C268" s="142"/>
      <c r="D268" s="143">
        <f>D261+D254+D247+D239+D231</f>
        <v>3671611.01</v>
      </c>
      <c r="E268" s="142"/>
      <c r="F268" s="143">
        <f>F261+F254+F247+F239+F231</f>
        <v>3180641</v>
      </c>
      <c r="G268" s="1595"/>
      <c r="H268" s="241"/>
      <c r="I268" s="1595"/>
      <c r="J268" s="1595"/>
      <c r="K268" s="1595"/>
      <c r="L268" s="1595"/>
      <c r="M268" s="1595"/>
      <c r="N268" s="1595"/>
      <c r="O268" s="1595"/>
      <c r="P268" s="1595"/>
      <c r="Q268" s="143">
        <f>Q261+Q254+Q247+Q239+Q231</f>
        <v>2910578</v>
      </c>
      <c r="R268" s="1594"/>
      <c r="S268" s="1594"/>
      <c r="T268" s="1594"/>
      <c r="U268" s="246">
        <f>U261+U254+U247+U239+U231</f>
        <v>2812853.61</v>
      </c>
      <c r="V268" s="499"/>
      <c r="W268" s="317"/>
      <c r="X268" s="317"/>
      <c r="Y268" s="317"/>
      <c r="Z268" s="317"/>
      <c r="AA268" s="317"/>
      <c r="AB268" s="1594"/>
      <c r="AC268" s="317"/>
      <c r="AD268" s="1594"/>
      <c r="AE268" s="1594"/>
      <c r="AF268" s="1594"/>
      <c r="AG268" s="1594"/>
      <c r="AH268" s="1594"/>
      <c r="AI268" s="1594"/>
      <c r="AJ268" s="1594"/>
      <c r="AK268" s="1594"/>
      <c r="AL268" s="1594"/>
      <c r="AM268" s="534"/>
    </row>
    <row r="269" spans="1:39" ht="13.5" thickTop="1">
      <c r="A269" s="1584"/>
      <c r="B269" s="1594"/>
      <c r="C269" s="1594"/>
      <c r="D269" s="317"/>
      <c r="E269" s="1594"/>
      <c r="F269" s="317"/>
      <c r="G269" s="1594"/>
      <c r="Q269" s="317"/>
      <c r="R269" s="1594"/>
      <c r="S269" s="1594"/>
      <c r="T269" s="1594"/>
      <c r="U269" s="621"/>
      <c r="V269" s="499"/>
      <c r="W269" s="317"/>
      <c r="X269" s="317"/>
      <c r="Y269" s="317"/>
      <c r="Z269" s="317"/>
      <c r="AA269" s="317"/>
      <c r="AB269" s="1594"/>
      <c r="AC269" s="317"/>
      <c r="AD269" s="1594"/>
      <c r="AE269" s="1594"/>
      <c r="AF269" s="1594"/>
      <c r="AG269" s="1594"/>
      <c r="AH269" s="1594"/>
      <c r="AI269" s="1594"/>
      <c r="AJ269" s="1594"/>
      <c r="AK269" s="1594"/>
      <c r="AL269" s="1594"/>
      <c r="AM269" s="534"/>
    </row>
    <row r="270" spans="1:39" ht="25.5">
      <c r="A270" s="281"/>
      <c r="B270" s="211" t="s">
        <v>2758</v>
      </c>
      <c r="C270" s="211"/>
      <c r="D270" s="328"/>
      <c r="E270" s="211"/>
      <c r="F270" s="328"/>
      <c r="G270" s="211"/>
      <c r="H270" s="329"/>
      <c r="I270" s="211"/>
      <c r="J270" s="211"/>
      <c r="K270" s="211"/>
      <c r="L270" s="211"/>
      <c r="M270" s="211"/>
      <c r="N270" s="211"/>
      <c r="O270" s="211"/>
      <c r="P270" s="211"/>
      <c r="Q270" s="211"/>
      <c r="R270" s="211"/>
      <c r="S270" s="211"/>
      <c r="T270" s="211"/>
      <c r="U270" s="645"/>
      <c r="V270" s="646"/>
      <c r="W270" s="317"/>
      <c r="X270" s="317"/>
      <c r="Y270" s="317"/>
      <c r="Z270" s="317"/>
      <c r="AA270" s="317"/>
      <c r="AB270" s="1594"/>
      <c r="AC270" s="317"/>
      <c r="AD270" s="1594"/>
      <c r="AE270" s="1594"/>
      <c r="AF270" s="1594"/>
      <c r="AG270" s="1594"/>
      <c r="AH270" s="1594"/>
      <c r="AI270" s="1594"/>
      <c r="AJ270" s="1594"/>
      <c r="AK270" s="1594"/>
      <c r="AL270" s="1594"/>
      <c r="AM270" s="534"/>
    </row>
    <row r="271" spans="1:39">
      <c r="A271" s="281"/>
      <c r="B271" s="211" t="s">
        <v>826</v>
      </c>
      <c r="C271" s="211"/>
      <c r="D271" s="328"/>
      <c r="E271" s="211"/>
      <c r="F271" s="328"/>
      <c r="G271" s="211"/>
      <c r="H271" s="329"/>
      <c r="I271" s="211"/>
      <c r="J271" s="211"/>
      <c r="K271" s="211"/>
      <c r="L271" s="211"/>
      <c r="M271" s="211"/>
      <c r="N271" s="211"/>
      <c r="O271" s="211"/>
      <c r="P271" s="211"/>
      <c r="Q271" s="211"/>
      <c r="R271" s="211"/>
      <c r="S271" s="211"/>
      <c r="T271" s="211"/>
      <c r="U271" s="645"/>
      <c r="V271" s="646"/>
      <c r="W271" s="317"/>
      <c r="X271" s="317"/>
      <c r="Y271" s="317"/>
      <c r="Z271" s="317"/>
      <c r="AA271" s="317"/>
      <c r="AB271" s="1594"/>
      <c r="AC271" s="317"/>
      <c r="AD271" s="1594"/>
      <c r="AE271" s="1594"/>
      <c r="AF271" s="1594"/>
      <c r="AG271" s="1594"/>
      <c r="AH271" s="1594"/>
      <c r="AI271" s="1594"/>
      <c r="AJ271" s="1594"/>
      <c r="AK271" s="1594"/>
      <c r="AL271" s="1594"/>
      <c r="AM271" s="534"/>
    </row>
    <row r="272" spans="1:39">
      <c r="A272" s="279"/>
      <c r="B272" s="314"/>
      <c r="C272" s="314"/>
      <c r="D272" s="315"/>
      <c r="E272" s="314"/>
      <c r="F272" s="315"/>
      <c r="G272" s="314"/>
      <c r="Q272" s="315"/>
      <c r="R272" s="314"/>
      <c r="S272" s="314"/>
      <c r="T272" s="314"/>
      <c r="U272" s="634"/>
      <c r="V272" s="635"/>
      <c r="W272" s="317"/>
      <c r="X272" s="317"/>
      <c r="Y272" s="317"/>
      <c r="Z272" s="317"/>
      <c r="AA272" s="317"/>
      <c r="AB272" s="1594"/>
      <c r="AC272" s="317"/>
      <c r="AD272" s="1594"/>
      <c r="AE272" s="1594"/>
      <c r="AF272" s="1594"/>
      <c r="AG272" s="1594"/>
      <c r="AH272" s="1594"/>
      <c r="AI272" s="1594"/>
      <c r="AJ272" s="1594"/>
      <c r="AK272" s="1594"/>
      <c r="AL272" s="1594"/>
      <c r="AM272" s="534"/>
    </row>
    <row r="273" spans="1:39">
      <c r="A273" s="1584"/>
      <c r="B273" s="1585"/>
      <c r="C273" s="1585"/>
      <c r="D273" s="1191"/>
      <c r="E273" s="1585"/>
      <c r="F273" s="1191"/>
      <c r="G273" s="1585"/>
      <c r="H273" s="184"/>
      <c r="I273" s="1585"/>
      <c r="J273" s="1585"/>
      <c r="K273" s="1585"/>
      <c r="L273" s="1585"/>
      <c r="M273" s="1585"/>
      <c r="N273" s="1585"/>
      <c r="O273" s="1585"/>
      <c r="P273" s="1585"/>
      <c r="Q273" s="1191" t="s">
        <v>1314</v>
      </c>
      <c r="R273" s="1585"/>
      <c r="S273" s="1585"/>
      <c r="T273" s="1585"/>
      <c r="U273" s="226" t="s">
        <v>1314</v>
      </c>
      <c r="V273" s="1586"/>
      <c r="W273" s="317"/>
      <c r="X273" s="317"/>
      <c r="Y273" s="317"/>
      <c r="Z273" s="317"/>
      <c r="AA273" s="1594"/>
      <c r="AB273" s="1594"/>
      <c r="AC273" s="317"/>
      <c r="AD273" s="1594"/>
      <c r="AE273" s="1594"/>
      <c r="AF273" s="1594"/>
      <c r="AG273" s="1594"/>
      <c r="AH273" s="1594"/>
      <c r="AI273" s="1594"/>
      <c r="AJ273" s="1594"/>
      <c r="AK273" s="1594"/>
      <c r="AL273" s="1594"/>
      <c r="AM273" s="534"/>
    </row>
    <row r="274" spans="1:39">
      <c r="A274" s="1589">
        <v>26</v>
      </c>
      <c r="B274" s="142" t="s">
        <v>827</v>
      </c>
      <c r="C274" s="142"/>
      <c r="D274" s="140" t="s">
        <v>2077</v>
      </c>
      <c r="E274" s="1585"/>
      <c r="F274" s="140" t="s">
        <v>1796</v>
      </c>
      <c r="G274" s="142"/>
      <c r="H274" s="187"/>
      <c r="I274" s="142"/>
      <c r="J274" s="142"/>
      <c r="K274" s="142"/>
      <c r="L274" s="142"/>
      <c r="M274" s="142"/>
      <c r="N274" s="142"/>
      <c r="O274" s="142"/>
      <c r="P274" s="142"/>
      <c r="Q274" s="317"/>
      <c r="R274" s="1594"/>
      <c r="S274" s="1594"/>
      <c r="T274" s="1594"/>
      <c r="U274" s="621"/>
      <c r="V274" s="223"/>
      <c r="W274" s="317"/>
      <c r="X274" s="317"/>
      <c r="Y274" s="317"/>
      <c r="Z274" s="317"/>
      <c r="AA274" s="1594"/>
      <c r="AB274" s="1594"/>
      <c r="AC274" s="317"/>
      <c r="AD274" s="1594"/>
      <c r="AE274" s="1594"/>
      <c r="AF274" s="1594"/>
      <c r="AG274" s="1594"/>
      <c r="AH274" s="1594"/>
      <c r="AI274" s="1594"/>
      <c r="AJ274" s="1594"/>
      <c r="AK274" s="1594"/>
      <c r="AL274" s="1594"/>
      <c r="AM274" s="534"/>
    </row>
    <row r="275" spans="1:39">
      <c r="A275" s="1589"/>
      <c r="B275" s="142"/>
      <c r="C275" s="142"/>
      <c r="D275" s="144"/>
      <c r="E275" s="142"/>
      <c r="F275" s="144"/>
      <c r="G275" s="142"/>
      <c r="H275" s="187"/>
      <c r="I275" s="142"/>
      <c r="J275" s="142"/>
      <c r="K275" s="142"/>
      <c r="L275" s="142"/>
      <c r="M275" s="142"/>
      <c r="N275" s="142"/>
      <c r="O275" s="142"/>
      <c r="P275" s="142"/>
      <c r="Q275" s="317"/>
      <c r="R275" s="1594"/>
      <c r="S275" s="1594"/>
      <c r="T275" s="1594"/>
      <c r="U275" s="621"/>
      <c r="V275" s="223"/>
      <c r="W275" s="317"/>
      <c r="X275" s="317"/>
      <c r="Y275" s="317"/>
      <c r="Z275" s="317"/>
      <c r="AA275" s="1594"/>
      <c r="AB275" s="1594"/>
      <c r="AC275" s="317"/>
      <c r="AD275" s="1594"/>
      <c r="AE275" s="1594"/>
      <c r="AF275" s="1594"/>
      <c r="AG275" s="1594"/>
      <c r="AH275" s="1594"/>
      <c r="AI275" s="1594"/>
      <c r="AJ275" s="1594"/>
      <c r="AK275" s="1594"/>
      <c r="AL275" s="1594"/>
      <c r="AM275" s="534"/>
    </row>
    <row r="276" spans="1:39">
      <c r="A276" s="1584"/>
      <c r="B276" s="1595" t="s">
        <v>389</v>
      </c>
      <c r="C276" s="1595"/>
      <c r="D276" s="262">
        <f>'EMPLOYEE COST 1011'!F195</f>
        <v>589555.62</v>
      </c>
      <c r="E276" s="1595"/>
      <c r="F276" s="262">
        <f>'EMPLOYEE COST 1011'!E195</f>
        <v>572108.04</v>
      </c>
      <c r="G276" s="1595"/>
      <c r="H276" s="241"/>
      <c r="I276" s="1595"/>
      <c r="J276" s="1595"/>
      <c r="K276" s="1595"/>
      <c r="L276" s="1595"/>
      <c r="M276" s="1595"/>
      <c r="N276" s="1595"/>
      <c r="O276" s="1595"/>
      <c r="P276" s="1595"/>
      <c r="Q276" s="317" t="e">
        <f>SUM('TRAIL BALANCE'!#REF!)</f>
        <v>#REF!</v>
      </c>
      <c r="R276" s="1594"/>
      <c r="S276" s="1594"/>
      <c r="T276" s="1594"/>
      <c r="U276" s="621" t="e">
        <f>SUM('TRAIL BALANCE'!#REF!)</f>
        <v>#REF!</v>
      </c>
      <c r="V276" s="499"/>
      <c r="W276" s="317"/>
      <c r="X276" s="317"/>
      <c r="Y276" s="317"/>
      <c r="Z276" s="317"/>
      <c r="AA276" s="1594"/>
      <c r="AB276" s="1594"/>
      <c r="AC276" s="317"/>
      <c r="AD276" s="1594"/>
      <c r="AE276" s="1594"/>
      <c r="AF276" s="1594"/>
      <c r="AG276" s="1594"/>
      <c r="AH276" s="1594"/>
      <c r="AI276" s="1594"/>
      <c r="AJ276" s="1594"/>
      <c r="AK276" s="1594"/>
      <c r="AL276" s="1594"/>
      <c r="AM276" s="534"/>
    </row>
    <row r="277" spans="1:39">
      <c r="A277" s="1584"/>
      <c r="B277" s="1595" t="s">
        <v>828</v>
      </c>
      <c r="C277" s="1595"/>
      <c r="D277" s="331"/>
      <c r="E277" s="1595"/>
      <c r="F277" s="331"/>
      <c r="G277" s="1595"/>
      <c r="H277" s="241"/>
      <c r="I277" s="1595"/>
      <c r="J277" s="1595"/>
      <c r="K277" s="1595"/>
      <c r="L277" s="1595"/>
      <c r="M277" s="1595"/>
      <c r="N277" s="1595"/>
      <c r="O277" s="1595"/>
      <c r="P277" s="1595"/>
      <c r="Q277" s="317"/>
      <c r="R277" s="1594"/>
      <c r="S277" s="1594"/>
      <c r="T277" s="1594"/>
      <c r="U277" s="621">
        <v>0</v>
      </c>
      <c r="V277" s="499"/>
      <c r="W277" s="317"/>
      <c r="X277" s="317"/>
      <c r="Y277" s="317"/>
      <c r="Z277" s="317"/>
      <c r="AA277" s="1594"/>
      <c r="AB277" s="1594"/>
      <c r="AC277" s="317"/>
      <c r="AD277" s="1594"/>
      <c r="AE277" s="1594"/>
      <c r="AF277" s="1594"/>
      <c r="AG277" s="1594"/>
      <c r="AH277" s="1594"/>
      <c r="AI277" s="1594"/>
      <c r="AJ277" s="1594"/>
      <c r="AK277" s="1594"/>
      <c r="AL277" s="1594"/>
      <c r="AM277" s="534"/>
    </row>
    <row r="278" spans="1:39">
      <c r="A278" s="1584"/>
      <c r="B278" s="1595" t="s">
        <v>829</v>
      </c>
      <c r="C278" s="1595"/>
      <c r="D278" s="331">
        <f>'EMPLOYEE COST 1011'!F196</f>
        <v>447550.93</v>
      </c>
      <c r="E278" s="1595"/>
      <c r="F278" s="331">
        <f>'EMPLOYEE COST 1011'!E196</f>
        <v>433355.02</v>
      </c>
      <c r="G278" s="1595"/>
      <c r="H278" s="241"/>
      <c r="I278" s="1595"/>
      <c r="J278" s="1595"/>
      <c r="K278" s="1595"/>
      <c r="L278" s="1595"/>
      <c r="M278" s="1595"/>
      <c r="N278" s="1595"/>
      <c r="O278" s="1595"/>
      <c r="P278" s="1595"/>
      <c r="Q278" s="317" t="e">
        <f>'TRAIL BALANCE'!#REF!</f>
        <v>#REF!</v>
      </c>
      <c r="R278" s="135"/>
      <c r="S278" s="135"/>
      <c r="T278" s="135"/>
      <c r="U278" s="621">
        <v>0</v>
      </c>
      <c r="V278" s="499"/>
      <c r="W278" s="312" t="s">
        <v>36</v>
      </c>
      <c r="X278" s="317"/>
      <c r="Y278" s="317"/>
      <c r="Z278" s="317"/>
      <c r="AA278" s="1594"/>
      <c r="AB278" s="1594"/>
      <c r="AC278" s="317"/>
      <c r="AD278" s="1594"/>
      <c r="AE278" s="1594"/>
      <c r="AF278" s="1594"/>
      <c r="AG278" s="1594"/>
      <c r="AH278" s="1594"/>
      <c r="AI278" s="1594"/>
      <c r="AJ278" s="1594"/>
      <c r="AK278" s="1594"/>
      <c r="AL278" s="1594"/>
      <c r="AM278" s="534"/>
    </row>
    <row r="279" spans="1:39">
      <c r="A279" s="1584"/>
      <c r="B279" s="1595" t="s">
        <v>830</v>
      </c>
      <c r="C279" s="1595"/>
      <c r="D279" s="331">
        <f>'EMPLOYEE COST 1011'!F197</f>
        <v>1172282.8500000001</v>
      </c>
      <c r="E279" s="1595"/>
      <c r="F279" s="331">
        <f>'EMPLOYEE COST 1011'!E197</f>
        <v>1123880.32</v>
      </c>
      <c r="G279" s="1595"/>
      <c r="H279" s="241"/>
      <c r="I279" s="1595"/>
      <c r="J279" s="1595"/>
      <c r="K279" s="1595"/>
      <c r="L279" s="1595"/>
      <c r="M279" s="1595"/>
      <c r="N279" s="1595"/>
      <c r="O279" s="1595"/>
      <c r="P279" s="1595"/>
      <c r="Q279" s="317" t="e">
        <f>SUM('TRAIL BALANCE'!#REF!)</f>
        <v>#REF!</v>
      </c>
      <c r="R279" s="1594"/>
      <c r="S279" s="1594"/>
      <c r="T279" s="1594"/>
      <c r="U279" s="621" t="e">
        <f>SUM('TRAIL BALANCE'!#REF!)</f>
        <v>#REF!</v>
      </c>
      <c r="V279" s="499"/>
      <c r="W279" s="316"/>
      <c r="X279" s="317"/>
      <c r="Y279" s="317"/>
      <c r="Z279" s="317"/>
      <c r="AA279" s="1594"/>
      <c r="AB279" s="1594"/>
      <c r="AC279" s="317"/>
      <c r="AD279" s="1594"/>
      <c r="AE279" s="1594"/>
      <c r="AF279" s="1594"/>
      <c r="AG279" s="1594"/>
      <c r="AH279" s="1594"/>
      <c r="AI279" s="1594"/>
      <c r="AJ279" s="1594"/>
      <c r="AK279" s="1594"/>
      <c r="AL279" s="1594"/>
      <c r="AM279" s="534"/>
    </row>
    <row r="280" spans="1:39">
      <c r="A280" s="1584"/>
      <c r="B280" s="1595" t="s">
        <v>831</v>
      </c>
      <c r="C280" s="1595"/>
      <c r="D280" s="331">
        <f>'EMPLOYEE COST 1011'!F200</f>
        <v>271648.51</v>
      </c>
      <c r="E280" s="1595"/>
      <c r="F280" s="331">
        <f>'EMPLOYEE COST 1011'!E200</f>
        <v>335464.15000000002</v>
      </c>
      <c r="G280" s="1595"/>
      <c r="H280" s="241"/>
      <c r="I280" s="1595"/>
      <c r="J280" s="1595"/>
      <c r="K280" s="1595"/>
      <c r="L280" s="1595"/>
      <c r="M280" s="1595"/>
      <c r="N280" s="1595"/>
      <c r="O280" s="1595"/>
      <c r="P280" s="1595"/>
      <c r="Q280" s="317" t="e">
        <f>SUM('TRAIL BALANCE'!#REF!)</f>
        <v>#REF!</v>
      </c>
      <c r="R280" s="1594"/>
      <c r="S280" s="1594"/>
      <c r="T280" s="1594"/>
      <c r="U280" s="621" t="e">
        <f>SUM('TRAIL BALANCE'!#REF!)</f>
        <v>#REF!</v>
      </c>
      <c r="V280" s="499"/>
      <c r="W280" s="317"/>
      <c r="X280" s="317"/>
      <c r="Y280" s="317"/>
      <c r="Z280" s="317"/>
      <c r="AA280" s="1594"/>
      <c r="AB280" s="1594"/>
      <c r="AC280" s="317"/>
      <c r="AD280" s="1594"/>
      <c r="AE280" s="1594"/>
      <c r="AF280" s="1594"/>
      <c r="AG280" s="1594"/>
      <c r="AH280" s="1594"/>
      <c r="AI280" s="1594"/>
      <c r="AJ280" s="1594"/>
      <c r="AK280" s="1594"/>
      <c r="AL280" s="1594"/>
      <c r="AM280" s="534"/>
    </row>
    <row r="281" spans="1:39">
      <c r="A281" s="1584"/>
      <c r="B281" s="1595" t="s">
        <v>832</v>
      </c>
      <c r="C281" s="1595"/>
      <c r="D281" s="331">
        <f>'EMPLOYEE COST 1011'!F198</f>
        <v>390763.33</v>
      </c>
      <c r="E281" s="1595"/>
      <c r="F281" s="331">
        <f>'EMPLOYEE COST 1011'!E198</f>
        <v>374625</v>
      </c>
      <c r="G281" s="1595"/>
      <c r="H281" s="241"/>
      <c r="I281" s="1595"/>
      <c r="J281" s="1595"/>
      <c r="K281" s="1595"/>
      <c r="L281" s="1595"/>
      <c r="M281" s="1595"/>
      <c r="N281" s="1595"/>
      <c r="O281" s="1595"/>
      <c r="P281" s="1595"/>
      <c r="Q281" s="317" t="e">
        <f>SUM('TRAIL BALANCE'!#REF!)</f>
        <v>#REF!</v>
      </c>
      <c r="R281" s="1594"/>
      <c r="S281" s="1594"/>
      <c r="T281" s="1594"/>
      <c r="U281" s="621" t="e">
        <f>SUM('TRAIL BALANCE'!#REF!)</f>
        <v>#REF!</v>
      </c>
      <c r="V281" s="499"/>
      <c r="W281" s="317"/>
      <c r="X281" s="317"/>
      <c r="Y281" s="317"/>
      <c r="Z281" s="317"/>
      <c r="AA281" s="1594"/>
      <c r="AB281" s="1594"/>
      <c r="AC281" s="317"/>
      <c r="AD281" s="1594"/>
      <c r="AE281" s="1594"/>
      <c r="AF281" s="1594"/>
      <c r="AG281" s="1594"/>
      <c r="AH281" s="1594"/>
      <c r="AI281" s="1594"/>
      <c r="AJ281" s="1594"/>
      <c r="AK281" s="1594"/>
      <c r="AL281" s="1594"/>
      <c r="AM281" s="534"/>
    </row>
    <row r="282" spans="1:39">
      <c r="A282" s="1584"/>
      <c r="B282" s="1595" t="s">
        <v>833</v>
      </c>
      <c r="C282" s="1595"/>
      <c r="D282" s="331">
        <f>'EMPLOYEE COST 1011'!F199</f>
        <v>100118.17</v>
      </c>
      <c r="E282" s="1595"/>
      <c r="F282" s="331">
        <f>'EMPLOYEE COST 1011'!E199</f>
        <v>96012</v>
      </c>
      <c r="G282" s="1595"/>
      <c r="H282" s="241"/>
      <c r="I282" s="1595"/>
      <c r="J282" s="1595"/>
      <c r="K282" s="1595"/>
      <c r="L282" s="1595"/>
      <c r="M282" s="1595"/>
      <c r="N282" s="1595"/>
      <c r="O282" s="1595"/>
      <c r="P282" s="1595"/>
      <c r="Q282" s="317" t="e">
        <f>SUM('TRAIL BALANCE'!#REF!)</f>
        <v>#REF!</v>
      </c>
      <c r="R282" s="1594"/>
      <c r="S282" s="1594"/>
      <c r="T282" s="1594"/>
      <c r="U282" s="621" t="e">
        <f>SUM('TRAIL BALANCE'!#REF!)</f>
        <v>#REF!</v>
      </c>
      <c r="V282" s="499"/>
      <c r="W282" s="317"/>
      <c r="X282" s="317"/>
      <c r="Y282" s="317"/>
      <c r="Z282" s="317"/>
      <c r="AA282" s="1594"/>
      <c r="AB282" s="1594"/>
      <c r="AC282" s="317"/>
      <c r="AD282" s="1594"/>
      <c r="AE282" s="1594"/>
      <c r="AF282" s="1594"/>
      <c r="AG282" s="1594"/>
      <c r="AH282" s="1594"/>
      <c r="AI282" s="1594"/>
      <c r="AJ282" s="1594"/>
      <c r="AK282" s="1594"/>
      <c r="AL282" s="1594"/>
      <c r="AM282" s="534"/>
    </row>
    <row r="283" spans="1:39">
      <c r="A283" s="1584"/>
      <c r="B283" s="1595" t="s">
        <v>834</v>
      </c>
      <c r="C283" s="1595"/>
      <c r="D283" s="327">
        <f>'EMPLOYEE COST 1011'!F194</f>
        <v>3799.84</v>
      </c>
      <c r="E283" s="1595"/>
      <c r="F283" s="327">
        <f>'EMPLOYEE COST 1011'!E194</f>
        <v>3180.92</v>
      </c>
      <c r="G283" s="1595"/>
      <c r="H283" s="241"/>
      <c r="I283" s="1595"/>
      <c r="J283" s="1595"/>
      <c r="K283" s="1595"/>
      <c r="L283" s="1595"/>
      <c r="M283" s="1595"/>
      <c r="N283" s="1595"/>
      <c r="O283" s="1595"/>
      <c r="P283" s="1595"/>
      <c r="Q283" s="317">
        <v>0</v>
      </c>
      <c r="R283" s="1594"/>
      <c r="S283" s="1594"/>
      <c r="T283" s="1594"/>
      <c r="U283" s="621" t="e">
        <f>SUM('TRAIL BALANCE'!#REF!)</f>
        <v>#REF!</v>
      </c>
      <c r="V283" s="499"/>
      <c r="W283" s="317"/>
      <c r="X283" s="317"/>
      <c r="Y283" s="317"/>
      <c r="Z283" s="317"/>
      <c r="AA283" s="1594"/>
      <c r="AB283" s="1594"/>
      <c r="AC283" s="317"/>
      <c r="AD283" s="1594"/>
      <c r="AE283" s="1594"/>
      <c r="AF283" s="1594"/>
      <c r="AG283" s="1594"/>
      <c r="AH283" s="1594"/>
      <c r="AI283" s="1594"/>
      <c r="AJ283" s="1594"/>
      <c r="AK283" s="1594"/>
      <c r="AL283" s="1594"/>
      <c r="AM283" s="534"/>
    </row>
    <row r="284" spans="1:39">
      <c r="A284" s="1584"/>
      <c r="B284" s="1595"/>
      <c r="C284" s="1595"/>
      <c r="D284" s="325"/>
      <c r="E284" s="1595"/>
      <c r="F284" s="325"/>
      <c r="G284" s="1595"/>
      <c r="H284" s="241"/>
      <c r="I284" s="1595"/>
      <c r="J284" s="1595"/>
      <c r="K284" s="1595"/>
      <c r="L284" s="1595"/>
      <c r="M284" s="1595"/>
      <c r="N284" s="1595"/>
      <c r="O284" s="1595"/>
      <c r="P284" s="1595"/>
      <c r="Q284" s="317"/>
      <c r="R284" s="1594"/>
      <c r="S284" s="1594"/>
      <c r="T284" s="1594"/>
      <c r="U284" s="621"/>
      <c r="V284" s="499"/>
      <c r="W284" s="317"/>
      <c r="X284" s="317"/>
      <c r="Y284" s="317"/>
      <c r="Z284" s="317"/>
      <c r="AA284" s="1594"/>
      <c r="AB284" s="1594"/>
      <c r="AC284" s="317"/>
      <c r="AD284" s="1594"/>
      <c r="AE284" s="1594"/>
      <c r="AF284" s="1594"/>
      <c r="AG284" s="1594"/>
      <c r="AH284" s="1594"/>
      <c r="AI284" s="1594"/>
      <c r="AJ284" s="1594"/>
      <c r="AK284" s="1594"/>
      <c r="AL284" s="1594"/>
      <c r="AM284" s="534"/>
    </row>
    <row r="285" spans="1:39" ht="13.5" thickBot="1">
      <c r="A285" s="1584"/>
      <c r="B285" s="142" t="s">
        <v>835</v>
      </c>
      <c r="C285" s="142"/>
      <c r="D285" s="143">
        <f>SUM(D276:D283)</f>
        <v>2975719.25</v>
      </c>
      <c r="E285" s="142"/>
      <c r="F285" s="143">
        <f>SUM(F276:F283)</f>
        <v>2938625.4499999997</v>
      </c>
      <c r="G285" s="1595"/>
      <c r="H285" s="241"/>
      <c r="I285" s="1595"/>
      <c r="J285" s="1595"/>
      <c r="K285" s="1595"/>
      <c r="L285" s="1595"/>
      <c r="M285" s="1595"/>
      <c r="N285" s="1595"/>
      <c r="O285" s="1595"/>
      <c r="P285" s="1595"/>
      <c r="Q285" s="143" t="e">
        <f>SUM(Q276:Q283)</f>
        <v>#REF!</v>
      </c>
      <c r="R285" s="1594"/>
      <c r="S285" s="1594"/>
      <c r="T285" s="1594"/>
      <c r="U285" s="246" t="e">
        <f>SUM(U276:U283)</f>
        <v>#REF!</v>
      </c>
      <c r="V285" s="499"/>
      <c r="W285" s="317"/>
      <c r="X285" s="317"/>
      <c r="Y285" s="317"/>
      <c r="Z285" s="317"/>
      <c r="AA285" s="1594"/>
      <c r="AB285" s="1594"/>
      <c r="AC285" s="317"/>
      <c r="AD285" s="1594"/>
      <c r="AE285" s="1594"/>
      <c r="AF285" s="1594"/>
      <c r="AG285" s="1594"/>
      <c r="AH285" s="1594"/>
      <c r="AI285" s="1594"/>
      <c r="AJ285" s="1594"/>
      <c r="AK285" s="1594"/>
      <c r="AL285" s="1594"/>
      <c r="AM285" s="534"/>
    </row>
    <row r="286" spans="1:39" ht="13.5" thickTop="1">
      <c r="A286" s="1584"/>
      <c r="B286" s="1595"/>
      <c r="C286" s="1595"/>
      <c r="D286" s="325"/>
      <c r="E286" s="1595"/>
      <c r="F286" s="325"/>
      <c r="G286" s="1595"/>
      <c r="H286" s="241"/>
      <c r="I286" s="1595"/>
      <c r="J286" s="1595"/>
      <c r="K286" s="1595"/>
      <c r="L286" s="1595"/>
      <c r="M286" s="1595"/>
      <c r="N286" s="1595"/>
      <c r="O286" s="1595"/>
      <c r="P286" s="1595"/>
      <c r="Q286" s="317"/>
      <c r="R286" s="1594"/>
      <c r="S286" s="1594"/>
      <c r="T286" s="1594"/>
      <c r="U286" s="621"/>
      <c r="V286" s="499"/>
      <c r="W286" s="317"/>
      <c r="X286" s="317"/>
      <c r="Y286" s="317"/>
      <c r="Z286" s="317"/>
      <c r="AA286" s="1594"/>
      <c r="AB286" s="1594"/>
      <c r="AC286" s="317"/>
      <c r="AD286" s="1594"/>
      <c r="AE286" s="1594"/>
      <c r="AF286" s="1594"/>
      <c r="AG286" s="1594"/>
      <c r="AH286" s="1594"/>
      <c r="AI286" s="1594"/>
      <c r="AJ286" s="1594"/>
      <c r="AK286" s="1594"/>
      <c r="AL286" s="1594"/>
      <c r="AM286" s="534"/>
    </row>
    <row r="287" spans="1:39">
      <c r="A287" s="281"/>
      <c r="B287" s="1703" t="s">
        <v>687</v>
      </c>
      <c r="C287" s="1703"/>
      <c r="D287" s="1703"/>
      <c r="E287" s="1703"/>
      <c r="F287" s="1703"/>
      <c r="G287" s="1703"/>
      <c r="H287" s="1703"/>
      <c r="I287" s="1703"/>
      <c r="J287" s="211"/>
      <c r="K287" s="211"/>
      <c r="L287" s="211"/>
      <c r="M287" s="211"/>
      <c r="N287" s="211"/>
      <c r="O287" s="211"/>
      <c r="P287" s="211"/>
      <c r="Q287" s="211"/>
      <c r="R287" s="211"/>
      <c r="S287" s="211"/>
      <c r="T287" s="211"/>
      <c r="U287" s="645"/>
      <c r="V287" s="646"/>
      <c r="W287" s="317"/>
      <c r="X287" s="317"/>
      <c r="Y287" s="317"/>
      <c r="Z287" s="317"/>
      <c r="AA287" s="1594"/>
      <c r="AB287" s="1594"/>
      <c r="AC287" s="317"/>
      <c r="AD287" s="1594"/>
      <c r="AE287" s="1594"/>
      <c r="AF287" s="1594"/>
      <c r="AG287" s="1594"/>
      <c r="AH287" s="1594"/>
      <c r="AI287" s="1594"/>
      <c r="AJ287" s="1594"/>
      <c r="AK287" s="1594"/>
      <c r="AL287" s="1594"/>
      <c r="AM287" s="534"/>
    </row>
    <row r="288" spans="1:39">
      <c r="A288" s="281"/>
      <c r="B288" s="1703" t="s">
        <v>688</v>
      </c>
      <c r="C288" s="1703"/>
      <c r="D288" s="1703"/>
      <c r="E288" s="1703"/>
      <c r="F288" s="1703"/>
      <c r="G288" s="1703"/>
      <c r="H288" s="1703"/>
      <c r="I288" s="1703"/>
      <c r="J288" s="211"/>
      <c r="K288" s="211"/>
      <c r="L288" s="211"/>
      <c r="M288" s="211"/>
      <c r="N288" s="211"/>
      <c r="O288" s="211"/>
      <c r="P288" s="211"/>
      <c r="Q288" s="211"/>
      <c r="R288" s="211"/>
      <c r="S288" s="211"/>
      <c r="T288" s="211"/>
      <c r="U288" s="645"/>
      <c r="V288" s="646"/>
      <c r="W288" s="317"/>
      <c r="X288" s="317"/>
      <c r="Y288" s="317"/>
      <c r="Z288" s="317"/>
      <c r="AA288" s="1594"/>
      <c r="AB288" s="1594"/>
      <c r="AC288" s="317"/>
      <c r="AD288" s="1594"/>
      <c r="AE288" s="1594"/>
      <c r="AF288" s="1594"/>
      <c r="AG288" s="1594"/>
      <c r="AH288" s="1594"/>
      <c r="AI288" s="1594"/>
      <c r="AJ288" s="1594"/>
      <c r="AK288" s="1594"/>
      <c r="AL288" s="1594"/>
      <c r="AM288" s="534"/>
    </row>
    <row r="289" spans="1:39">
      <c r="A289" s="281"/>
      <c r="B289" s="211" t="s">
        <v>836</v>
      </c>
      <c r="C289" s="211"/>
      <c r="D289" s="328"/>
      <c r="E289" s="211"/>
      <c r="F289" s="328"/>
      <c r="G289" s="211"/>
      <c r="H289" s="329"/>
      <c r="I289" s="211"/>
      <c r="J289" s="211"/>
      <c r="K289" s="211"/>
      <c r="L289" s="211"/>
      <c r="M289" s="211"/>
      <c r="N289" s="211"/>
      <c r="O289" s="211"/>
      <c r="P289" s="211"/>
      <c r="Q289" s="211"/>
      <c r="R289" s="211"/>
      <c r="S289" s="211"/>
      <c r="T289" s="211"/>
      <c r="U289" s="645"/>
      <c r="V289" s="646"/>
      <c r="W289" s="317"/>
      <c r="X289" s="317"/>
      <c r="Y289" s="317"/>
      <c r="Z289" s="317"/>
      <c r="AA289" s="1594"/>
      <c r="AB289" s="1594"/>
      <c r="AC289" s="317"/>
      <c r="AD289" s="1594"/>
      <c r="AE289" s="1594"/>
      <c r="AF289" s="1594"/>
      <c r="AG289" s="1594"/>
      <c r="AH289" s="1594"/>
      <c r="AI289" s="1594"/>
      <c r="AJ289" s="1594"/>
      <c r="AK289" s="1594"/>
      <c r="AL289" s="1594"/>
      <c r="AM289" s="534"/>
    </row>
    <row r="290" spans="1:39">
      <c r="A290" s="282"/>
      <c r="B290" s="651"/>
      <c r="C290" s="651"/>
      <c r="D290" s="652"/>
      <c r="E290" s="651"/>
      <c r="F290" s="652"/>
      <c r="G290" s="651"/>
      <c r="H290" s="241"/>
      <c r="I290" s="1595"/>
      <c r="J290" s="1595"/>
      <c r="K290" s="1595"/>
      <c r="L290" s="1595"/>
      <c r="M290" s="1595"/>
      <c r="N290" s="1595"/>
      <c r="O290" s="1595"/>
      <c r="P290" s="1595"/>
      <c r="Q290" s="652"/>
      <c r="R290" s="651"/>
      <c r="S290" s="651"/>
      <c r="T290" s="651"/>
      <c r="U290" s="653"/>
      <c r="V290" s="654"/>
      <c r="W290" s="317"/>
      <c r="X290" s="317"/>
      <c r="Y290" s="317"/>
      <c r="Z290" s="317"/>
      <c r="AA290" s="1594"/>
      <c r="AB290" s="1594"/>
      <c r="AC290" s="317"/>
      <c r="AD290" s="1594"/>
      <c r="AE290" s="1594"/>
      <c r="AF290" s="1594"/>
      <c r="AG290" s="1594"/>
      <c r="AH290" s="1594"/>
      <c r="AI290" s="1594"/>
      <c r="AJ290" s="1594"/>
      <c r="AK290" s="1594"/>
      <c r="AL290" s="1594"/>
      <c r="AM290" s="534"/>
    </row>
    <row r="291" spans="1:39">
      <c r="A291" s="280"/>
      <c r="B291" s="321"/>
      <c r="C291" s="321"/>
      <c r="D291" s="322"/>
      <c r="E291" s="321"/>
      <c r="F291" s="322"/>
      <c r="G291" s="321"/>
      <c r="Q291" s="322"/>
      <c r="R291" s="321"/>
      <c r="S291" s="321"/>
      <c r="T291" s="321"/>
      <c r="U291" s="622"/>
      <c r="V291" s="623"/>
      <c r="W291" s="317"/>
      <c r="X291" s="317"/>
      <c r="Y291" s="317"/>
      <c r="Z291" s="317"/>
      <c r="AA291" s="1594"/>
      <c r="AB291" s="1594"/>
      <c r="AC291" s="317"/>
      <c r="AD291" s="1594"/>
      <c r="AE291" s="1594"/>
      <c r="AF291" s="1594"/>
      <c r="AG291" s="1594"/>
      <c r="AH291" s="1594"/>
      <c r="AI291" s="1594"/>
      <c r="AJ291" s="1594"/>
      <c r="AK291" s="1594"/>
      <c r="AL291" s="1594"/>
      <c r="AM291" s="534"/>
    </row>
    <row r="292" spans="1:39">
      <c r="A292" s="1584">
        <v>27</v>
      </c>
      <c r="B292" s="141" t="s">
        <v>2138</v>
      </c>
      <c r="C292" s="1594"/>
      <c r="D292" s="140" t="s">
        <v>2077</v>
      </c>
      <c r="E292" s="1585"/>
      <c r="F292" s="140" t="s">
        <v>1796</v>
      </c>
      <c r="G292" s="1594"/>
      <c r="Q292" s="322"/>
      <c r="R292" s="1594"/>
      <c r="S292" s="1594"/>
      <c r="T292" s="1594"/>
      <c r="U292" s="622"/>
      <c r="V292" s="499"/>
      <c r="W292" s="317"/>
      <c r="X292" s="317"/>
      <c r="Y292" s="317"/>
      <c r="Z292" s="317"/>
      <c r="AA292" s="1594"/>
      <c r="AB292" s="1594"/>
      <c r="AC292" s="317"/>
      <c r="AD292" s="1594"/>
      <c r="AE292" s="1594"/>
      <c r="AF292" s="1594"/>
      <c r="AG292" s="1594"/>
      <c r="AH292" s="1594"/>
      <c r="AI292" s="1594"/>
      <c r="AJ292" s="1594"/>
      <c r="AK292" s="1594"/>
      <c r="AL292" s="1594"/>
      <c r="AM292" s="534"/>
    </row>
    <row r="293" spans="1:39">
      <c r="A293" s="1584"/>
      <c r="B293" s="141"/>
      <c r="C293" s="1594"/>
      <c r="D293" s="317"/>
      <c r="E293" s="1594"/>
      <c r="F293" s="317"/>
      <c r="G293" s="1594"/>
      <c r="Q293" s="322"/>
      <c r="R293" s="1594"/>
      <c r="S293" s="1594"/>
      <c r="T293" s="1594"/>
      <c r="U293" s="622"/>
      <c r="V293" s="499"/>
      <c r="W293" s="317"/>
      <c r="X293" s="317"/>
      <c r="Y293" s="317"/>
      <c r="Z293" s="317"/>
      <c r="AA293" s="1594"/>
      <c r="AB293" s="1594"/>
      <c r="AC293" s="317"/>
      <c r="AD293" s="1594"/>
      <c r="AE293" s="1594"/>
      <c r="AF293" s="1594"/>
      <c r="AG293" s="1594"/>
      <c r="AH293" s="1594"/>
      <c r="AI293" s="1594"/>
      <c r="AJ293" s="1594"/>
      <c r="AK293" s="1594"/>
      <c r="AL293" s="1594"/>
      <c r="AM293" s="534"/>
    </row>
    <row r="294" spans="1:39">
      <c r="A294" s="1584"/>
      <c r="B294" s="313" t="s">
        <v>284</v>
      </c>
      <c r="C294" s="1594"/>
      <c r="D294" s="319">
        <f>'Statement of Financial Performa'!F38</f>
        <v>7102463.459999999</v>
      </c>
      <c r="E294" s="1594"/>
      <c r="F294" s="319"/>
      <c r="G294" s="1594"/>
      <c r="Q294" s="322"/>
      <c r="R294" s="1594"/>
      <c r="S294" s="1594"/>
      <c r="T294" s="1594"/>
      <c r="U294" s="622"/>
      <c r="V294" s="499"/>
      <c r="W294" s="317"/>
      <c r="X294" s="317"/>
      <c r="Y294" s="317"/>
      <c r="Z294" s="317"/>
      <c r="AA294" s="1594"/>
      <c r="AB294" s="1594"/>
      <c r="AC294" s="317"/>
      <c r="AD294" s="1594"/>
      <c r="AE294" s="1594"/>
      <c r="AF294" s="1594"/>
      <c r="AG294" s="1594"/>
      <c r="AH294" s="1594"/>
      <c r="AI294" s="1594"/>
      <c r="AJ294" s="1594"/>
      <c r="AK294" s="1594"/>
      <c r="AL294" s="1594"/>
      <c r="AM294" s="534"/>
    </row>
    <row r="295" spans="1:39">
      <c r="A295" s="1584"/>
      <c r="B295" s="313" t="s">
        <v>693</v>
      </c>
      <c r="C295" s="1594"/>
      <c r="D295" s="213">
        <f>'TRAIL BALANCE'!F259</f>
        <v>34747.979999999996</v>
      </c>
      <c r="E295" s="1594"/>
      <c r="F295" s="213"/>
      <c r="G295" s="1594"/>
      <c r="Q295" s="322"/>
      <c r="R295" s="1594"/>
      <c r="S295" s="1594"/>
      <c r="T295" s="1594"/>
      <c r="U295" s="622"/>
      <c r="V295" s="499"/>
      <c r="W295" s="317"/>
      <c r="X295" s="317"/>
      <c r="Y295" s="317"/>
      <c r="Z295" s="317"/>
      <c r="AA295" s="1594"/>
      <c r="AB295" s="1594"/>
      <c r="AC295" s="317"/>
      <c r="AD295" s="1594"/>
      <c r="AE295" s="1594"/>
      <c r="AF295" s="1594"/>
      <c r="AG295" s="1594"/>
      <c r="AH295" s="1594"/>
      <c r="AI295" s="1594"/>
      <c r="AJ295" s="1594"/>
      <c r="AK295" s="1594"/>
      <c r="AL295" s="1594"/>
      <c r="AM295" s="534"/>
    </row>
    <row r="296" spans="1:39">
      <c r="A296" s="1584"/>
      <c r="B296" s="313" t="s">
        <v>2139</v>
      </c>
      <c r="C296" s="1594"/>
      <c r="D296" s="213"/>
      <c r="E296" s="1594"/>
      <c r="F296" s="213"/>
      <c r="G296" s="1594"/>
      <c r="Q296" s="322"/>
      <c r="R296" s="1594"/>
      <c r="S296" s="1594"/>
      <c r="T296" s="1594"/>
      <c r="U296" s="622"/>
      <c r="V296" s="499"/>
      <c r="W296" s="317"/>
      <c r="X296" s="317"/>
      <c r="Y296" s="317"/>
      <c r="Z296" s="317"/>
      <c r="AA296" s="1594"/>
      <c r="AB296" s="1594"/>
      <c r="AC296" s="317"/>
      <c r="AD296" s="1594"/>
      <c r="AE296" s="1594"/>
      <c r="AF296" s="1594"/>
      <c r="AG296" s="1594"/>
      <c r="AH296" s="1594"/>
      <c r="AI296" s="1594"/>
      <c r="AJ296" s="1594"/>
      <c r="AK296" s="1594"/>
      <c r="AL296" s="1594"/>
      <c r="AM296" s="534"/>
    </row>
    <row r="297" spans="1:39">
      <c r="A297" s="1584"/>
      <c r="B297" s="313" t="s">
        <v>2140</v>
      </c>
      <c r="C297" s="1594"/>
      <c r="D297" s="338"/>
      <c r="E297" s="1594"/>
      <c r="F297" s="338"/>
      <c r="G297" s="1594"/>
      <c r="Q297" s="322"/>
      <c r="R297" s="1594"/>
      <c r="S297" s="1594"/>
      <c r="T297" s="1594"/>
      <c r="U297" s="622"/>
      <c r="V297" s="499"/>
      <c r="W297" s="317"/>
      <c r="X297" s="317"/>
      <c r="Y297" s="317"/>
      <c r="Z297" s="317"/>
      <c r="AA297" s="1594"/>
      <c r="AB297" s="1594"/>
      <c r="AC297" s="317"/>
      <c r="AD297" s="1594"/>
      <c r="AE297" s="1594"/>
      <c r="AF297" s="1594"/>
      <c r="AG297" s="1594"/>
      <c r="AH297" s="1594"/>
      <c r="AI297" s="1594"/>
      <c r="AJ297" s="1594"/>
      <c r="AK297" s="1594"/>
      <c r="AL297" s="1594"/>
      <c r="AM297" s="534"/>
    </row>
    <row r="298" spans="1:39">
      <c r="A298" s="1584"/>
      <c r="C298" s="1594"/>
      <c r="D298" s="317"/>
      <c r="E298" s="1594"/>
      <c r="F298" s="317"/>
      <c r="G298" s="1594"/>
      <c r="Q298" s="322"/>
      <c r="R298" s="1594"/>
      <c r="S298" s="1594"/>
      <c r="T298" s="1594"/>
      <c r="U298" s="622"/>
      <c r="V298" s="499"/>
      <c r="W298" s="317"/>
      <c r="X298" s="317"/>
      <c r="Y298" s="317"/>
      <c r="Z298" s="317"/>
      <c r="AA298" s="1594"/>
      <c r="AB298" s="1594"/>
      <c r="AC298" s="317"/>
      <c r="AD298" s="1594"/>
      <c r="AE298" s="1594"/>
      <c r="AF298" s="1594"/>
      <c r="AG298" s="1594"/>
      <c r="AH298" s="1594"/>
      <c r="AI298" s="1594"/>
      <c r="AJ298" s="1594"/>
      <c r="AK298" s="1594"/>
      <c r="AL298" s="1594"/>
      <c r="AM298" s="534"/>
    </row>
    <row r="299" spans="1:39" ht="13.5" thickBot="1">
      <c r="A299" s="1584"/>
      <c r="B299" s="141" t="s">
        <v>2141</v>
      </c>
      <c r="C299" s="1594"/>
      <c r="D299" s="637">
        <f>SUM(D294:D298)</f>
        <v>7137211.4399999995</v>
      </c>
      <c r="E299" s="1594"/>
      <c r="F299" s="317"/>
      <c r="G299" s="1594"/>
      <c r="Q299" s="322"/>
      <c r="R299" s="1594"/>
      <c r="S299" s="1594"/>
      <c r="T299" s="1594"/>
      <c r="U299" s="622"/>
      <c r="V299" s="499"/>
      <c r="W299" s="317"/>
      <c r="X299" s="317"/>
      <c r="Y299" s="317"/>
      <c r="Z299" s="317"/>
      <c r="AA299" s="1594"/>
      <c r="AB299" s="1594"/>
      <c r="AC299" s="317"/>
      <c r="AD299" s="1594"/>
      <c r="AE299" s="1594"/>
      <c r="AF299" s="1594"/>
      <c r="AG299" s="1594"/>
      <c r="AH299" s="1594"/>
      <c r="AI299" s="1594"/>
      <c r="AJ299" s="1594"/>
      <c r="AK299" s="1594"/>
      <c r="AL299" s="1594"/>
      <c r="AM299" s="534"/>
    </row>
    <row r="300" spans="1:39" ht="13.5" thickTop="1">
      <c r="A300" s="1584"/>
      <c r="B300" s="1594"/>
      <c r="C300" s="1594"/>
      <c r="D300" s="317"/>
      <c r="E300" s="1594"/>
      <c r="F300" s="317"/>
      <c r="G300" s="1594"/>
      <c r="Q300" s="322"/>
      <c r="R300" s="1594"/>
      <c r="S300" s="1594"/>
      <c r="T300" s="1594"/>
      <c r="U300" s="622"/>
      <c r="V300" s="499"/>
      <c r="W300" s="317"/>
      <c r="X300" s="317"/>
      <c r="Y300" s="317"/>
      <c r="Z300" s="317"/>
      <c r="AA300" s="1594"/>
      <c r="AB300" s="1594"/>
      <c r="AC300" s="317"/>
      <c r="AD300" s="1594"/>
      <c r="AE300" s="1594"/>
      <c r="AF300" s="1594"/>
      <c r="AG300" s="1594"/>
      <c r="AH300" s="1594"/>
      <c r="AI300" s="1594"/>
      <c r="AJ300" s="1594"/>
      <c r="AK300" s="1594"/>
      <c r="AL300" s="1594"/>
      <c r="AM300" s="534"/>
    </row>
    <row r="301" spans="1:39">
      <c r="A301" s="279"/>
      <c r="B301" s="314"/>
      <c r="C301" s="314"/>
      <c r="D301" s="315"/>
      <c r="E301" s="314"/>
      <c r="F301" s="315"/>
      <c r="G301" s="1594"/>
      <c r="Q301" s="322"/>
      <c r="R301" s="1594"/>
      <c r="S301" s="1594"/>
      <c r="T301" s="1594"/>
      <c r="U301" s="622"/>
      <c r="V301" s="499"/>
      <c r="W301" s="317"/>
      <c r="X301" s="317"/>
      <c r="Y301" s="317"/>
      <c r="Z301" s="317"/>
      <c r="AA301" s="1594"/>
      <c r="AB301" s="1594"/>
      <c r="AC301" s="317"/>
      <c r="AD301" s="1594"/>
      <c r="AE301" s="1594"/>
      <c r="AF301" s="1594"/>
      <c r="AG301" s="1594"/>
      <c r="AH301" s="1594"/>
      <c r="AI301" s="1594"/>
      <c r="AJ301" s="1594"/>
      <c r="AK301" s="1594"/>
      <c r="AL301" s="1594"/>
      <c r="AM301" s="534"/>
    </row>
    <row r="302" spans="1:39">
      <c r="A302" s="1584"/>
      <c r="B302" s="1594"/>
      <c r="C302" s="1594"/>
      <c r="D302" s="317"/>
      <c r="E302" s="1594"/>
      <c r="F302" s="317"/>
      <c r="G302" s="1594"/>
      <c r="Q302" s="322"/>
      <c r="R302" s="1594"/>
      <c r="S302" s="1594"/>
      <c r="T302" s="1594"/>
      <c r="U302" s="622"/>
      <c r="V302" s="499"/>
      <c r="W302" s="317"/>
      <c r="X302" s="317"/>
      <c r="Y302" s="317"/>
      <c r="Z302" s="317"/>
      <c r="AA302" s="1594"/>
      <c r="AB302" s="1594"/>
      <c r="AC302" s="317"/>
      <c r="AD302" s="1594"/>
      <c r="AE302" s="1594"/>
      <c r="AF302" s="1594"/>
      <c r="AG302" s="1594"/>
      <c r="AH302" s="1594"/>
      <c r="AI302" s="1594"/>
      <c r="AJ302" s="1594"/>
      <c r="AK302" s="1594"/>
      <c r="AL302" s="1594"/>
      <c r="AM302" s="534"/>
    </row>
    <row r="303" spans="1:39">
      <c r="A303" s="1589">
        <v>28</v>
      </c>
      <c r="B303" s="142" t="s">
        <v>1339</v>
      </c>
      <c r="C303" s="1585"/>
      <c r="D303" s="140" t="s">
        <v>2077</v>
      </c>
      <c r="E303" s="1585"/>
      <c r="F303" s="140" t="s">
        <v>1796</v>
      </c>
      <c r="G303" s="1585"/>
      <c r="H303" s="184"/>
      <c r="I303" s="1585"/>
      <c r="J303" s="1585"/>
      <c r="K303" s="1585"/>
      <c r="L303" s="1585"/>
      <c r="M303" s="1585"/>
      <c r="N303" s="1585"/>
      <c r="O303" s="1585"/>
      <c r="P303" s="1585"/>
      <c r="Q303" s="276" t="s">
        <v>1452</v>
      </c>
      <c r="R303" s="1585"/>
      <c r="S303" s="1585"/>
      <c r="T303" s="1585"/>
      <c r="U303" s="225" t="s">
        <v>1036</v>
      </c>
      <c r="V303" s="1586"/>
      <c r="W303" s="317"/>
      <c r="X303" s="317"/>
      <c r="Y303" s="317"/>
      <c r="Z303" s="317"/>
      <c r="AA303" s="1594"/>
      <c r="AB303" s="1594"/>
      <c r="AC303" s="317"/>
      <c r="AD303" s="1594"/>
      <c r="AE303" s="1594"/>
      <c r="AF303" s="1594"/>
      <c r="AG303" s="1594"/>
      <c r="AH303" s="1594"/>
      <c r="AI303" s="1594"/>
      <c r="AJ303" s="1594"/>
      <c r="AK303" s="1594"/>
      <c r="AL303" s="1594"/>
      <c r="AM303" s="534"/>
    </row>
    <row r="304" spans="1:39">
      <c r="A304" s="1584"/>
      <c r="B304" s="1585"/>
      <c r="C304" s="1585"/>
      <c r="D304" s="1191"/>
      <c r="E304" s="1585"/>
      <c r="F304" s="1191"/>
      <c r="G304" s="1585"/>
      <c r="H304" s="184"/>
      <c r="I304" s="1585"/>
      <c r="J304" s="1585"/>
      <c r="K304" s="1585"/>
      <c r="L304" s="1585"/>
      <c r="M304" s="1585"/>
      <c r="N304" s="1585"/>
      <c r="O304" s="1585"/>
      <c r="P304" s="1585"/>
      <c r="Q304" s="1191" t="s">
        <v>1314</v>
      </c>
      <c r="R304" s="1585"/>
      <c r="S304" s="1585"/>
      <c r="T304" s="1585"/>
      <c r="U304" s="226" t="s">
        <v>1314</v>
      </c>
      <c r="V304" s="1586"/>
      <c r="W304" s="317"/>
      <c r="X304" s="317"/>
      <c r="Y304" s="317"/>
      <c r="Z304" s="317"/>
      <c r="AA304" s="1594"/>
      <c r="AB304" s="1594"/>
      <c r="AC304" s="317"/>
      <c r="AD304" s="1594"/>
      <c r="AE304" s="1594"/>
      <c r="AF304" s="1594"/>
      <c r="AG304" s="1594"/>
      <c r="AH304" s="1594"/>
      <c r="AI304" s="1594"/>
      <c r="AJ304" s="1594"/>
      <c r="AK304" s="1594"/>
      <c r="AL304" s="1594"/>
      <c r="AM304" s="534"/>
    </row>
    <row r="305" spans="1:39">
      <c r="A305" s="1589"/>
      <c r="B305" s="142"/>
      <c r="C305" s="142"/>
      <c r="D305" s="144"/>
      <c r="E305" s="142"/>
      <c r="F305" s="144"/>
      <c r="G305" s="135"/>
      <c r="H305" s="185"/>
      <c r="I305" s="135"/>
      <c r="J305" s="135"/>
      <c r="K305" s="135"/>
      <c r="L305" s="135"/>
      <c r="M305" s="135"/>
      <c r="N305" s="135"/>
      <c r="O305" s="135"/>
      <c r="P305" s="135"/>
      <c r="Q305" s="136"/>
      <c r="R305" s="135"/>
      <c r="S305" s="135"/>
      <c r="T305" s="135"/>
      <c r="U305" s="227"/>
      <c r="V305" s="223"/>
      <c r="W305" s="316"/>
      <c r="X305" s="317"/>
      <c r="Y305" s="317"/>
      <c r="Z305" s="317"/>
      <c r="AA305" s="1594"/>
      <c r="AB305" s="1594"/>
      <c r="AC305" s="317"/>
      <c r="AD305" s="1594"/>
      <c r="AE305" s="1594"/>
      <c r="AF305" s="1594"/>
      <c r="AG305" s="1594"/>
      <c r="AH305" s="1594"/>
      <c r="AI305" s="1594"/>
      <c r="AJ305" s="1594"/>
      <c r="AK305" s="1594"/>
      <c r="AL305" s="1594"/>
      <c r="AM305" s="534"/>
    </row>
    <row r="306" spans="1:39">
      <c r="A306" s="1584"/>
      <c r="B306" s="1595" t="s">
        <v>1142</v>
      </c>
      <c r="C306" s="1595"/>
      <c r="D306" s="1031"/>
      <c r="E306" s="1595"/>
      <c r="F306" s="262"/>
      <c r="G306" s="1594"/>
      <c r="Q306" s="317">
        <v>0</v>
      </c>
      <c r="R306" s="1594"/>
      <c r="S306" s="1594"/>
      <c r="T306" s="1594"/>
      <c r="U306" s="621">
        <v>0</v>
      </c>
      <c r="V306" s="499"/>
      <c r="W306" s="317"/>
      <c r="X306" s="317"/>
      <c r="Y306" s="317"/>
      <c r="Z306" s="317"/>
      <c r="AA306" s="1594"/>
      <c r="AB306" s="1594"/>
      <c r="AC306" s="317"/>
      <c r="AD306" s="1594"/>
      <c r="AE306" s="1594"/>
      <c r="AF306" s="1594"/>
      <c r="AG306" s="1594"/>
      <c r="AH306" s="1594"/>
      <c r="AI306" s="1594"/>
      <c r="AJ306" s="1594"/>
      <c r="AK306" s="1594"/>
      <c r="AL306" s="1594"/>
      <c r="AM306" s="534"/>
    </row>
    <row r="307" spans="1:39">
      <c r="A307" s="1584"/>
      <c r="B307" s="1595" t="s">
        <v>1143</v>
      </c>
      <c r="C307" s="1595"/>
      <c r="D307" s="1032"/>
      <c r="E307" s="1595"/>
      <c r="F307" s="331"/>
      <c r="G307" s="1594"/>
      <c r="Q307" s="317">
        <v>0</v>
      </c>
      <c r="R307" s="1594"/>
      <c r="S307" s="1594"/>
      <c r="T307" s="1594"/>
      <c r="U307" s="621">
        <v>0</v>
      </c>
      <c r="V307" s="499"/>
      <c r="W307" s="317"/>
      <c r="X307" s="317"/>
      <c r="Y307" s="317"/>
      <c r="Z307" s="317"/>
      <c r="AA307" s="1594"/>
      <c r="AB307" s="1594"/>
      <c r="AC307" s="317"/>
      <c r="AD307" s="1594"/>
      <c r="AE307" s="1594"/>
      <c r="AF307" s="1594"/>
      <c r="AG307" s="1594"/>
      <c r="AH307" s="1594"/>
      <c r="AI307" s="1594"/>
      <c r="AJ307" s="1594"/>
      <c r="AK307" s="1594"/>
      <c r="AL307" s="1594"/>
      <c r="AM307" s="534"/>
    </row>
    <row r="308" spans="1:39">
      <c r="A308" s="1584"/>
      <c r="B308" s="1595" t="s">
        <v>1144</v>
      </c>
      <c r="C308" s="1595"/>
      <c r="D308" s="331">
        <v>56026.36</v>
      </c>
      <c r="E308" s="1595"/>
      <c r="F308" s="331">
        <v>237738.64</v>
      </c>
      <c r="G308" s="1594"/>
      <c r="Q308" s="317">
        <v>0</v>
      </c>
      <c r="R308" s="1594"/>
      <c r="S308" s="1594"/>
      <c r="T308" s="1594"/>
      <c r="U308" s="621">
        <v>0</v>
      </c>
      <c r="V308" s="499"/>
      <c r="W308" s="317"/>
      <c r="X308" s="317"/>
      <c r="Y308" s="317"/>
      <c r="Z308" s="317"/>
      <c r="AA308" s="1594"/>
      <c r="AB308" s="1594"/>
      <c r="AC308" s="317"/>
      <c r="AD308" s="1594"/>
      <c r="AE308" s="1594"/>
      <c r="AF308" s="1594"/>
      <c r="AG308" s="1594"/>
      <c r="AH308" s="1594"/>
      <c r="AI308" s="1594"/>
      <c r="AJ308" s="1594"/>
      <c r="AK308" s="1594"/>
      <c r="AL308" s="1594"/>
      <c r="AM308" s="534"/>
    </row>
    <row r="309" spans="1:39">
      <c r="A309" s="1584"/>
      <c r="B309" s="1595" t="s">
        <v>1145</v>
      </c>
      <c r="C309" s="1595"/>
      <c r="D309" s="327">
        <f>'TRAIL BALANCE'!F32+'TRAIL BALANCE'!F330+'TRAIL BALANCE'!F401+'TRAIL BALANCE'!F425+'TRAIL BALANCE'!F458+'TRAIL BALANCE'!F541-56026.36</f>
        <v>1550717.84</v>
      </c>
      <c r="E309" s="1595"/>
      <c r="F309" s="327">
        <f>'TRAIL BALANCE'!E32+'TRAIL BALANCE'!E330+'TRAIL BALANCE'!E401+'TRAIL BALANCE'!E425+'TRAIL BALANCE'!E458+'TRAIL BALANCE'!E541-237739</f>
        <v>2074878.4900000002</v>
      </c>
      <c r="G309" s="1594"/>
      <c r="Q309" s="317" t="e">
        <f>'TRAIL BALANCE'!#REF!+'TRAIL BALANCE'!#REF!+'TRAIL BALANCE'!#REF!+'TRAIL BALANCE'!#REF!+'TRAIL BALANCE'!#REF!+'TRAIL BALANCE'!#REF!</f>
        <v>#REF!</v>
      </c>
      <c r="R309" s="1594"/>
      <c r="S309" s="1594"/>
      <c r="T309" s="1594"/>
      <c r="U309" s="621" t="e">
        <f>'TRAIL BALANCE'!#REF!+'TRAIL BALANCE'!#REF!+'TRAIL BALANCE'!#REF!+'TRAIL BALANCE'!#REF!+'TRAIL BALANCE'!#REF!+'TRAIL BALANCE'!#REF!</f>
        <v>#REF!</v>
      </c>
      <c r="V309" s="499"/>
      <c r="W309" s="312" t="s">
        <v>36</v>
      </c>
      <c r="X309" s="317"/>
      <c r="Y309" s="317"/>
      <c r="Z309" s="317"/>
      <c r="AA309" s="1594"/>
      <c r="AB309" s="1594"/>
      <c r="AC309" s="317"/>
      <c r="AD309" s="1594"/>
      <c r="AE309" s="1594"/>
      <c r="AF309" s="1594"/>
      <c r="AG309" s="1594"/>
      <c r="AH309" s="1594"/>
      <c r="AI309" s="1594"/>
      <c r="AJ309" s="1594"/>
      <c r="AK309" s="1594"/>
      <c r="AL309" s="1594"/>
      <c r="AM309" s="534"/>
    </row>
    <row r="310" spans="1:39">
      <c r="A310" s="1584"/>
      <c r="B310" s="1595"/>
      <c r="C310" s="1595"/>
      <c r="D310" s="325"/>
      <c r="E310" s="1595"/>
      <c r="F310" s="325"/>
      <c r="G310" s="1594"/>
      <c r="Q310" s="317"/>
      <c r="R310" s="1594"/>
      <c r="S310" s="1594"/>
      <c r="T310" s="1594"/>
      <c r="U310" s="621"/>
      <c r="V310" s="499"/>
      <c r="W310" s="312"/>
      <c r="X310" s="317"/>
      <c r="Y310" s="317"/>
      <c r="Z310" s="317"/>
      <c r="AA310" s="1594"/>
      <c r="AB310" s="1594"/>
      <c r="AC310" s="317"/>
      <c r="AD310" s="1594"/>
      <c r="AE310" s="1594"/>
      <c r="AF310" s="1594"/>
      <c r="AG310" s="1594"/>
      <c r="AH310" s="1594"/>
      <c r="AI310" s="1594"/>
      <c r="AJ310" s="1594"/>
      <c r="AK310" s="1594"/>
      <c r="AL310" s="1594"/>
      <c r="AM310" s="534"/>
    </row>
    <row r="311" spans="1:39" ht="13.5" thickBot="1">
      <c r="A311" s="1584"/>
      <c r="B311" s="142" t="s">
        <v>1108</v>
      </c>
      <c r="C311" s="142"/>
      <c r="D311" s="143">
        <f>SUM(D306:D309)</f>
        <v>1606744.2000000002</v>
      </c>
      <c r="E311" s="142"/>
      <c r="F311" s="143">
        <f>SUM(F306:F309)</f>
        <v>2312617.1300000004</v>
      </c>
      <c r="G311" s="1594"/>
      <c r="Q311" s="143" t="e">
        <f>SUM(Q306:Q309)</f>
        <v>#REF!</v>
      </c>
      <c r="R311" s="1594"/>
      <c r="S311" s="1594"/>
      <c r="T311" s="1594"/>
      <c r="U311" s="246" t="e">
        <f>SUM(U306:U309)</f>
        <v>#REF!</v>
      </c>
      <c r="V311" s="499"/>
      <c r="W311" s="317"/>
      <c r="X311" s="317"/>
      <c r="Y311" s="317"/>
      <c r="Z311" s="317"/>
      <c r="AA311" s="1594"/>
      <c r="AB311" s="1594"/>
      <c r="AC311" s="317"/>
      <c r="AD311" s="1594"/>
      <c r="AE311" s="1594"/>
      <c r="AF311" s="1594"/>
      <c r="AG311" s="1594"/>
      <c r="AH311" s="1594"/>
      <c r="AI311" s="1594"/>
      <c r="AJ311" s="1594"/>
      <c r="AK311" s="1594"/>
      <c r="AL311" s="1594"/>
      <c r="AM311" s="534"/>
    </row>
    <row r="312" spans="1:39" ht="13.5" thickTop="1">
      <c r="A312" s="1584"/>
      <c r="B312" s="1594"/>
      <c r="C312" s="1594"/>
      <c r="D312" s="317"/>
      <c r="E312" s="1594"/>
      <c r="F312" s="317"/>
      <c r="G312" s="1594"/>
      <c r="Q312" s="317"/>
      <c r="R312" s="1594"/>
      <c r="S312" s="1594"/>
      <c r="T312" s="1594"/>
      <c r="U312" s="621"/>
      <c r="V312" s="499"/>
      <c r="W312" s="317"/>
      <c r="X312" s="317"/>
      <c r="Y312" s="317"/>
      <c r="Z312" s="317"/>
      <c r="AA312" s="1594"/>
      <c r="AB312" s="1594"/>
      <c r="AC312" s="317"/>
      <c r="AD312" s="1594"/>
      <c r="AE312" s="1594"/>
      <c r="AF312" s="1594"/>
      <c r="AG312" s="1594"/>
      <c r="AH312" s="1594"/>
      <c r="AI312" s="1594"/>
      <c r="AJ312" s="1594"/>
      <c r="AK312" s="1594"/>
      <c r="AL312" s="1594"/>
      <c r="AM312" s="534"/>
    </row>
    <row r="313" spans="1:39">
      <c r="A313" s="279"/>
      <c r="B313" s="314"/>
      <c r="C313" s="314"/>
      <c r="D313" s="315"/>
      <c r="E313" s="314"/>
      <c r="F313" s="315"/>
      <c r="G313" s="314"/>
      <c r="Q313" s="315"/>
      <c r="R313" s="314"/>
      <c r="S313" s="314"/>
      <c r="T313" s="314"/>
      <c r="U313" s="634"/>
      <c r="V313" s="635"/>
      <c r="W313" s="317"/>
      <c r="X313" s="317"/>
      <c r="Y313" s="317"/>
      <c r="Z313" s="317"/>
      <c r="AA313" s="1594"/>
      <c r="AB313" s="1594"/>
      <c r="AC313" s="317"/>
      <c r="AD313" s="1594"/>
      <c r="AE313" s="1594"/>
      <c r="AF313" s="1594"/>
      <c r="AG313" s="1594"/>
      <c r="AH313" s="1594"/>
      <c r="AI313" s="1594"/>
      <c r="AJ313" s="1594"/>
      <c r="AK313" s="1594"/>
      <c r="AL313" s="1594"/>
      <c r="AM313" s="534"/>
    </row>
    <row r="314" spans="1:39">
      <c r="A314" s="1585"/>
      <c r="B314" s="1594"/>
      <c r="C314" s="1594"/>
      <c r="D314" s="317"/>
      <c r="E314" s="1594"/>
      <c r="F314" s="317"/>
      <c r="G314" s="1594"/>
      <c r="Q314" s="317"/>
      <c r="R314" s="1594"/>
      <c r="S314" s="1594"/>
      <c r="T314" s="1594"/>
      <c r="U314" s="621"/>
      <c r="V314" s="499"/>
      <c r="W314" s="317"/>
      <c r="X314" s="317"/>
      <c r="Y314" s="317"/>
      <c r="Z314" s="317"/>
      <c r="AA314" s="1594"/>
      <c r="AB314" s="1594"/>
      <c r="AC314" s="317"/>
      <c r="AD314" s="1594"/>
      <c r="AE314" s="1594"/>
      <c r="AF314" s="1594"/>
      <c r="AG314" s="1594"/>
      <c r="AH314" s="1594"/>
      <c r="AI314" s="1594"/>
      <c r="AJ314" s="1594"/>
      <c r="AK314" s="1594"/>
      <c r="AL314" s="1594"/>
      <c r="AM314" s="534"/>
    </row>
    <row r="315" spans="1:39">
      <c r="A315" s="1589">
        <v>29</v>
      </c>
      <c r="B315" s="142" t="s">
        <v>1146</v>
      </c>
      <c r="C315" s="142"/>
      <c r="D315" s="140" t="s">
        <v>2077</v>
      </c>
      <c r="E315" s="1585"/>
      <c r="F315" s="140" t="s">
        <v>1796</v>
      </c>
      <c r="G315" s="1594"/>
      <c r="Q315" s="322"/>
      <c r="R315" s="321"/>
      <c r="S315" s="321"/>
      <c r="T315" s="321"/>
      <c r="U315" s="622"/>
      <c r="V315" s="623"/>
      <c r="W315" s="317"/>
      <c r="X315" s="317"/>
      <c r="Y315" s="317"/>
      <c r="Z315" s="317"/>
      <c r="AA315" s="1594"/>
      <c r="AB315" s="1594"/>
      <c r="AC315" s="317"/>
      <c r="AD315" s="1594"/>
      <c r="AE315" s="1594"/>
      <c r="AF315" s="1594"/>
      <c r="AG315" s="1594"/>
      <c r="AH315" s="1594"/>
      <c r="AI315" s="1594"/>
      <c r="AJ315" s="1594"/>
      <c r="AK315" s="1594"/>
      <c r="AL315" s="1594"/>
      <c r="AM315" s="534"/>
    </row>
    <row r="316" spans="1:39">
      <c r="A316" s="1589"/>
      <c r="B316" s="142"/>
      <c r="C316" s="142"/>
      <c r="D316" s="144"/>
      <c r="E316" s="142"/>
      <c r="F316" s="144"/>
      <c r="G316" s="1594"/>
      <c r="Q316" s="317"/>
      <c r="R316" s="1594"/>
      <c r="S316" s="1594"/>
      <c r="T316" s="1594"/>
      <c r="U316" s="621"/>
      <c r="V316" s="499"/>
      <c r="W316" s="317"/>
      <c r="X316" s="317"/>
      <c r="Y316" s="317"/>
      <c r="Z316" s="317"/>
      <c r="AA316" s="1594"/>
      <c r="AB316" s="1594"/>
      <c r="AC316" s="317"/>
      <c r="AD316" s="1594"/>
      <c r="AE316" s="1594"/>
      <c r="AF316" s="1594"/>
      <c r="AG316" s="1594"/>
      <c r="AH316" s="1594"/>
      <c r="AI316" s="1594"/>
      <c r="AJ316" s="1594"/>
      <c r="AK316" s="1594"/>
      <c r="AL316" s="1594"/>
      <c r="AM316" s="534"/>
    </row>
    <row r="317" spans="1:39">
      <c r="A317" s="1584"/>
      <c r="B317" s="1595" t="s">
        <v>711</v>
      </c>
      <c r="C317" s="1595"/>
      <c r="D317" s="262">
        <f>'TRAIL BALANCE'!F459</f>
        <v>30105151.129999999</v>
      </c>
      <c r="E317" s="1595"/>
      <c r="F317" s="262">
        <f>'TRAIL BALANCE'!E459</f>
        <v>28933065.280000001</v>
      </c>
      <c r="G317" s="1594"/>
      <c r="Q317" s="317" t="e">
        <f>'TRAIL BALANCE'!#REF!</f>
        <v>#REF!</v>
      </c>
      <c r="R317" s="1594"/>
      <c r="S317" s="1594"/>
      <c r="T317" s="1594"/>
      <c r="U317" s="621" t="e">
        <f>'TRAIL BALANCE'!#REF!</f>
        <v>#REF!</v>
      </c>
      <c r="V317" s="499"/>
      <c r="W317" s="312" t="s">
        <v>36</v>
      </c>
      <c r="X317" s="317"/>
      <c r="Y317" s="317"/>
      <c r="Z317" s="317"/>
      <c r="AA317" s="1594"/>
      <c r="AB317" s="1594"/>
      <c r="AC317" s="317"/>
      <c r="AD317" s="1594"/>
      <c r="AE317" s="1594"/>
      <c r="AF317" s="1594"/>
      <c r="AG317" s="1594"/>
      <c r="AH317" s="1594"/>
      <c r="AI317" s="1594"/>
      <c r="AJ317" s="1594"/>
      <c r="AK317" s="1594"/>
      <c r="AL317" s="1594"/>
      <c r="AM317" s="534"/>
    </row>
    <row r="318" spans="1:39">
      <c r="A318" s="1584"/>
      <c r="B318" s="1595" t="s">
        <v>714</v>
      </c>
      <c r="C318" s="1595"/>
      <c r="D318" s="327"/>
      <c r="E318" s="1595"/>
      <c r="F318" s="327"/>
      <c r="G318" s="1594"/>
      <c r="Q318" s="317"/>
      <c r="R318" s="1594"/>
      <c r="S318" s="1594"/>
      <c r="T318" s="1594"/>
      <c r="U318" s="621"/>
      <c r="V318" s="499"/>
      <c r="W318" s="316"/>
      <c r="X318" s="317"/>
      <c r="Y318" s="317"/>
      <c r="Z318" s="317"/>
      <c r="AA318" s="1594"/>
      <c r="AB318" s="1594"/>
      <c r="AC318" s="317"/>
      <c r="AD318" s="1594"/>
      <c r="AE318" s="1594"/>
      <c r="AF318" s="1594"/>
      <c r="AG318" s="1594"/>
      <c r="AH318" s="1594"/>
      <c r="AI318" s="1594"/>
      <c r="AJ318" s="1594"/>
      <c r="AK318" s="1594"/>
      <c r="AL318" s="1594"/>
      <c r="AM318" s="534"/>
    </row>
    <row r="319" spans="1:39">
      <c r="A319" s="1584"/>
      <c r="B319" s="1595"/>
      <c r="C319" s="1595"/>
      <c r="D319" s="325"/>
      <c r="E319" s="1595"/>
      <c r="F319" s="325"/>
      <c r="G319" s="1594"/>
      <c r="Q319" s="317"/>
      <c r="R319" s="1594"/>
      <c r="S319" s="1594"/>
      <c r="T319" s="1594"/>
      <c r="U319" s="621"/>
      <c r="V319" s="499"/>
      <c r="W319" s="316"/>
      <c r="X319" s="317"/>
      <c r="Y319" s="317"/>
      <c r="Z319" s="317"/>
      <c r="AA319" s="1594"/>
      <c r="AB319" s="1594"/>
      <c r="AC319" s="317"/>
      <c r="AD319" s="1594"/>
      <c r="AE319" s="1594"/>
      <c r="AF319" s="1594"/>
      <c r="AG319" s="1594"/>
      <c r="AH319" s="1594"/>
      <c r="AI319" s="1594"/>
      <c r="AJ319" s="1594"/>
      <c r="AK319" s="1594"/>
      <c r="AL319" s="1594"/>
      <c r="AM319" s="534"/>
    </row>
    <row r="320" spans="1:39" ht="13.5" thickBot="1">
      <c r="A320" s="1584"/>
      <c r="B320" s="142" t="s">
        <v>1108</v>
      </c>
      <c r="C320" s="142"/>
      <c r="D320" s="154">
        <f>SUM(D317:D319)</f>
        <v>30105151.129999999</v>
      </c>
      <c r="E320" s="142"/>
      <c r="F320" s="143">
        <f>SUM(F317:F318)</f>
        <v>28933065.280000001</v>
      </c>
      <c r="G320" s="1594"/>
      <c r="Q320" s="143" t="e">
        <f>SUM(Q317:Q318)</f>
        <v>#REF!</v>
      </c>
      <c r="R320" s="1594"/>
      <c r="S320" s="1594"/>
      <c r="T320" s="1594"/>
      <c r="U320" s="246" t="e">
        <f>SUM(U317:U318)</f>
        <v>#REF!</v>
      </c>
      <c r="V320" s="499"/>
      <c r="W320" s="317"/>
      <c r="X320" s="317"/>
      <c r="Y320" s="317"/>
      <c r="Z320" s="317"/>
      <c r="AA320" s="1594"/>
      <c r="AB320" s="1594"/>
      <c r="AC320" s="317"/>
      <c r="AD320" s="1594"/>
      <c r="AE320" s="1594"/>
      <c r="AF320" s="1594"/>
      <c r="AG320" s="1594"/>
      <c r="AH320" s="1594"/>
      <c r="AI320" s="1594"/>
      <c r="AJ320" s="1594"/>
      <c r="AK320" s="1594"/>
      <c r="AL320" s="1594"/>
      <c r="AM320" s="534"/>
    </row>
    <row r="321" spans="1:39" ht="13.5" thickTop="1">
      <c r="A321" s="1584"/>
      <c r="B321" s="1595"/>
      <c r="C321" s="1595"/>
      <c r="D321" s="325"/>
      <c r="E321" s="1595"/>
      <c r="F321" s="325"/>
      <c r="G321" s="1594"/>
      <c r="Q321" s="317"/>
      <c r="R321" s="1594"/>
      <c r="S321" s="1594"/>
      <c r="T321" s="1594"/>
      <c r="U321" s="621"/>
      <c r="V321" s="499"/>
      <c r="W321" s="317"/>
      <c r="X321" s="317"/>
      <c r="Y321" s="317"/>
      <c r="Z321" s="317"/>
      <c r="AA321" s="1594"/>
      <c r="AB321" s="1594"/>
      <c r="AC321" s="317"/>
      <c r="AD321" s="1594"/>
      <c r="AE321" s="1594"/>
      <c r="AF321" s="1594"/>
      <c r="AG321" s="1594"/>
      <c r="AH321" s="1594"/>
      <c r="AI321" s="1594"/>
      <c r="AJ321" s="1594"/>
      <c r="AK321" s="1594"/>
      <c r="AL321" s="1594"/>
      <c r="AM321" s="534"/>
    </row>
    <row r="322" spans="1:39">
      <c r="A322" s="1584"/>
      <c r="B322" s="1595" t="s">
        <v>1147</v>
      </c>
      <c r="C322" s="1595"/>
      <c r="D322" s="655">
        <v>3.9011999999999998E-2</v>
      </c>
      <c r="E322" s="1595"/>
      <c r="F322" s="655">
        <v>3.7006999999999998E-2</v>
      </c>
      <c r="G322" s="1594"/>
      <c r="Q322" s="655">
        <v>2.9458000000000002E-2</v>
      </c>
      <c r="R322" s="1594"/>
      <c r="S322" s="1594"/>
      <c r="T322" s="1594"/>
      <c r="U322" s="656">
        <v>2.1426000000000001E-2</v>
      </c>
      <c r="V322" s="499"/>
      <c r="W322" s="317"/>
      <c r="X322" s="317"/>
      <c r="Y322" s="317"/>
      <c r="Z322" s="317"/>
      <c r="AA322" s="1594"/>
      <c r="AB322" s="1594"/>
      <c r="AC322" s="317"/>
      <c r="AD322" s="1594"/>
      <c r="AE322" s="1594"/>
      <c r="AF322" s="1594"/>
      <c r="AG322" s="1594"/>
      <c r="AH322" s="1594"/>
      <c r="AI322" s="1594"/>
      <c r="AJ322" s="1594"/>
      <c r="AK322" s="1594"/>
      <c r="AL322" s="1594"/>
      <c r="AM322" s="534"/>
    </row>
    <row r="323" spans="1:39">
      <c r="A323" s="279"/>
      <c r="B323" s="314"/>
      <c r="C323" s="314"/>
      <c r="D323" s="315"/>
      <c r="E323" s="314"/>
      <c r="F323" s="315"/>
      <c r="G323" s="314"/>
      <c r="Q323" s="315"/>
      <c r="R323" s="314"/>
      <c r="S323" s="314"/>
      <c r="T323" s="314"/>
      <c r="U323" s="634"/>
      <c r="V323" s="635"/>
      <c r="W323" s="317"/>
      <c r="X323" s="317"/>
      <c r="Y323" s="317"/>
      <c r="Z323" s="317"/>
      <c r="AA323" s="1594"/>
      <c r="AB323" s="1594"/>
      <c r="AC323" s="317"/>
      <c r="AD323" s="1594"/>
      <c r="AE323" s="1594"/>
      <c r="AF323" s="1594"/>
      <c r="AG323" s="1594"/>
      <c r="AH323" s="1594"/>
      <c r="AI323" s="1594"/>
      <c r="AJ323" s="1594"/>
      <c r="AK323" s="1594"/>
      <c r="AL323" s="1594"/>
      <c r="AM323" s="534"/>
    </row>
    <row r="324" spans="1:39">
      <c r="A324" s="280"/>
      <c r="B324" s="321"/>
      <c r="C324" s="321"/>
      <c r="D324" s="322"/>
      <c r="E324" s="321"/>
      <c r="F324" s="322"/>
      <c r="G324" s="321"/>
      <c r="Q324" s="322"/>
      <c r="R324" s="321"/>
      <c r="S324" s="321"/>
      <c r="T324" s="321"/>
      <c r="U324" s="622"/>
      <c r="V324" s="623"/>
      <c r="W324" s="317"/>
      <c r="X324" s="317"/>
      <c r="Y324" s="317"/>
      <c r="Z324" s="317"/>
      <c r="AA324" s="1594"/>
      <c r="AB324" s="1594"/>
      <c r="AC324" s="317"/>
      <c r="AD324" s="1594"/>
      <c r="AE324" s="1594"/>
      <c r="AF324" s="1594"/>
      <c r="AG324" s="1594"/>
      <c r="AH324" s="1594"/>
      <c r="AI324" s="1594"/>
      <c r="AJ324" s="1594"/>
      <c r="AK324" s="1594"/>
      <c r="AL324" s="1594"/>
      <c r="AM324" s="534"/>
    </row>
    <row r="325" spans="1:39">
      <c r="A325" s="1584">
        <v>30</v>
      </c>
      <c r="B325" s="141" t="s">
        <v>2142</v>
      </c>
      <c r="C325" s="1594"/>
      <c r="D325" s="140" t="s">
        <v>2077</v>
      </c>
      <c r="E325" s="1585"/>
      <c r="F325" s="140" t="s">
        <v>1796</v>
      </c>
      <c r="G325" s="1594"/>
      <c r="Q325" s="322"/>
      <c r="R325" s="1594"/>
      <c r="S325" s="1594"/>
      <c r="T325" s="1594"/>
      <c r="U325" s="622"/>
      <c r="V325" s="499"/>
      <c r="W325" s="317"/>
      <c r="X325" s="317"/>
      <c r="Y325" s="317"/>
      <c r="Z325" s="317"/>
      <c r="AA325" s="1594"/>
      <c r="AB325" s="1594"/>
      <c r="AC325" s="317"/>
      <c r="AD325" s="1594"/>
      <c r="AE325" s="1594"/>
      <c r="AF325" s="1594"/>
      <c r="AG325" s="1594"/>
      <c r="AH325" s="1594"/>
      <c r="AI325" s="1594"/>
      <c r="AJ325" s="1594"/>
      <c r="AK325" s="1594"/>
      <c r="AL325" s="1594"/>
      <c r="AM325" s="534"/>
    </row>
    <row r="326" spans="1:39">
      <c r="A326" s="1584"/>
      <c r="B326" s="1594"/>
      <c r="C326" s="1594"/>
      <c r="D326" s="317"/>
      <c r="E326" s="1594"/>
      <c r="F326" s="317"/>
      <c r="G326" s="1594"/>
      <c r="Q326" s="322"/>
      <c r="R326" s="1594"/>
      <c r="S326" s="1594"/>
      <c r="T326" s="1594"/>
      <c r="U326" s="622"/>
      <c r="V326" s="499"/>
      <c r="W326" s="317"/>
      <c r="X326" s="317"/>
      <c r="Y326" s="317"/>
      <c r="Z326" s="317"/>
      <c r="AA326" s="1594"/>
      <c r="AB326" s="1594"/>
      <c r="AC326" s="317"/>
      <c r="AD326" s="1594"/>
      <c r="AE326" s="1594"/>
      <c r="AF326" s="1594"/>
      <c r="AG326" s="1594"/>
      <c r="AH326" s="1594"/>
      <c r="AI326" s="1594"/>
      <c r="AJ326" s="1594"/>
      <c r="AK326" s="1594"/>
      <c r="AL326" s="1594"/>
      <c r="AM326" s="534"/>
    </row>
    <row r="327" spans="1:39">
      <c r="A327" s="1584"/>
      <c r="B327" s="313" t="s">
        <v>2143</v>
      </c>
      <c r="C327" s="1594"/>
      <c r="D327" s="319"/>
      <c r="E327" s="1594"/>
      <c r="F327" s="319"/>
      <c r="G327" s="1594"/>
      <c r="Q327" s="322"/>
      <c r="R327" s="1594"/>
      <c r="S327" s="1594"/>
      <c r="T327" s="1594"/>
      <c r="U327" s="622"/>
      <c r="V327" s="499"/>
      <c r="W327" s="317"/>
      <c r="X327" s="317"/>
      <c r="Y327" s="317"/>
      <c r="Z327" s="317"/>
      <c r="AA327" s="1594"/>
      <c r="AB327" s="1594"/>
      <c r="AC327" s="317"/>
      <c r="AD327" s="1594"/>
      <c r="AE327" s="1594"/>
      <c r="AF327" s="1594"/>
      <c r="AG327" s="1594"/>
      <c r="AH327" s="1594"/>
      <c r="AI327" s="1594"/>
      <c r="AJ327" s="1594"/>
      <c r="AK327" s="1594"/>
      <c r="AL327" s="1594"/>
      <c r="AM327" s="534"/>
    </row>
    <row r="328" spans="1:39">
      <c r="A328" s="1584"/>
      <c r="B328" s="1187" t="s">
        <v>2044</v>
      </c>
      <c r="C328" s="1594"/>
      <c r="D328" s="213">
        <f>'TRAIL BALANCE'!F33</f>
        <v>2290430.41</v>
      </c>
      <c r="E328" s="1594"/>
      <c r="F328" s="213">
        <f>'TRAIL BALANCE'!E33</f>
        <v>2711937.93</v>
      </c>
      <c r="G328" s="1594"/>
      <c r="Q328" s="322"/>
      <c r="R328" s="1594"/>
      <c r="S328" s="1594"/>
      <c r="T328" s="1594"/>
      <c r="U328" s="622"/>
      <c r="V328" s="499"/>
      <c r="W328" s="317"/>
      <c r="X328" s="317"/>
      <c r="Y328" s="317"/>
      <c r="Z328" s="317"/>
      <c r="AA328" s="1594"/>
      <c r="AB328" s="1594"/>
      <c r="AC328" s="317"/>
      <c r="AD328" s="1594"/>
      <c r="AE328" s="1594"/>
      <c r="AF328" s="1594"/>
      <c r="AG328" s="1594"/>
      <c r="AH328" s="1594"/>
      <c r="AI328" s="1594"/>
      <c r="AJ328" s="1594"/>
      <c r="AK328" s="1594"/>
      <c r="AL328" s="1594"/>
      <c r="AM328" s="534"/>
    </row>
    <row r="329" spans="1:39">
      <c r="A329" s="1584"/>
      <c r="B329" s="1187" t="s">
        <v>36</v>
      </c>
      <c r="C329" s="1594"/>
      <c r="D329" s="338"/>
      <c r="E329" s="1594"/>
      <c r="F329" s="338"/>
      <c r="G329" s="1594"/>
      <c r="Q329" s="322"/>
      <c r="R329" s="1594"/>
      <c r="S329" s="1594"/>
      <c r="T329" s="1594"/>
      <c r="U329" s="622"/>
      <c r="V329" s="499"/>
      <c r="W329" s="317"/>
      <c r="X329" s="317"/>
      <c r="Y329" s="317"/>
      <c r="Z329" s="317"/>
      <c r="AA329" s="1594"/>
      <c r="AB329" s="1594"/>
      <c r="AC329" s="317"/>
      <c r="AD329" s="1594"/>
      <c r="AE329" s="1594"/>
      <c r="AF329" s="1594"/>
      <c r="AG329" s="1594"/>
      <c r="AH329" s="1594"/>
      <c r="AI329" s="1594"/>
      <c r="AJ329" s="1594"/>
      <c r="AK329" s="1594"/>
      <c r="AL329" s="1594"/>
      <c r="AM329" s="534"/>
    </row>
    <row r="330" spans="1:39">
      <c r="A330" s="1584"/>
      <c r="B330" s="1594"/>
      <c r="C330" s="1594"/>
      <c r="D330" s="317"/>
      <c r="E330" s="1594"/>
      <c r="F330" s="317"/>
      <c r="G330" s="1594"/>
      <c r="Q330" s="322"/>
      <c r="R330" s="1594"/>
      <c r="S330" s="1594"/>
      <c r="T330" s="1594"/>
      <c r="U330" s="622"/>
      <c r="V330" s="499"/>
      <c r="W330" s="317"/>
      <c r="X330" s="317"/>
      <c r="Y330" s="317"/>
      <c r="Z330" s="317"/>
      <c r="AA330" s="1594"/>
      <c r="AB330" s="1594"/>
      <c r="AC330" s="317"/>
      <c r="AD330" s="1594"/>
      <c r="AE330" s="1594"/>
      <c r="AF330" s="1594"/>
      <c r="AG330" s="1594"/>
      <c r="AH330" s="1594"/>
      <c r="AI330" s="1594"/>
      <c r="AJ330" s="1594"/>
      <c r="AK330" s="1594"/>
      <c r="AL330" s="1594"/>
      <c r="AM330" s="534"/>
    </row>
    <row r="331" spans="1:39" ht="13.5" thickBot="1">
      <c r="A331" s="1584"/>
      <c r="B331" s="141" t="s">
        <v>1108</v>
      </c>
      <c r="C331" s="1594"/>
      <c r="D331" s="143">
        <f>SUM(D328:D330)</f>
        <v>2290430.41</v>
      </c>
      <c r="E331" s="135"/>
      <c r="F331" s="143">
        <f>SUM(F328:F330)</f>
        <v>2711937.93</v>
      </c>
      <c r="G331" s="1594"/>
      <c r="Q331" s="322"/>
      <c r="R331" s="1594"/>
      <c r="S331" s="1594"/>
      <c r="T331" s="1594"/>
      <c r="U331" s="622"/>
      <c r="V331" s="499"/>
      <c r="W331" s="317"/>
      <c r="X331" s="317"/>
      <c r="Y331" s="317"/>
      <c r="Z331" s="317"/>
      <c r="AA331" s="1594"/>
      <c r="AB331" s="1594"/>
      <c r="AC331" s="317"/>
      <c r="AD331" s="1594"/>
      <c r="AE331" s="1594"/>
      <c r="AF331" s="1594"/>
      <c r="AG331" s="1594"/>
      <c r="AH331" s="1594"/>
      <c r="AI331" s="1594"/>
      <c r="AJ331" s="1594"/>
      <c r="AK331" s="1594"/>
      <c r="AL331" s="1594"/>
      <c r="AM331" s="534"/>
    </row>
    <row r="332" spans="1:39" ht="13.5" thickTop="1">
      <c r="A332" s="1584"/>
      <c r="B332" s="1594"/>
      <c r="C332" s="1594"/>
      <c r="D332" s="317"/>
      <c r="E332" s="1594"/>
      <c r="F332" s="317"/>
      <c r="G332" s="1594"/>
      <c r="Q332" s="322"/>
      <c r="R332" s="1594"/>
      <c r="S332" s="1594"/>
      <c r="T332" s="1594"/>
      <c r="U332" s="622"/>
      <c r="V332" s="499"/>
      <c r="W332" s="317"/>
      <c r="X332" s="317"/>
      <c r="Y332" s="317"/>
      <c r="Z332" s="317"/>
      <c r="AA332" s="1594"/>
      <c r="AB332" s="1594"/>
      <c r="AC332" s="317"/>
      <c r="AD332" s="1594"/>
      <c r="AE332" s="1594"/>
      <c r="AF332" s="1594"/>
      <c r="AG332" s="1594"/>
      <c r="AH332" s="1594"/>
      <c r="AI332" s="1594"/>
      <c r="AJ332" s="1594"/>
      <c r="AK332" s="1594"/>
      <c r="AL332" s="1594"/>
      <c r="AM332" s="534"/>
    </row>
    <row r="333" spans="1:39">
      <c r="A333" s="279"/>
      <c r="B333" s="314"/>
      <c r="C333" s="314"/>
      <c r="D333" s="315"/>
      <c r="E333" s="314"/>
      <c r="F333" s="315"/>
      <c r="G333" s="314"/>
      <c r="Q333" s="322"/>
      <c r="R333" s="1594"/>
      <c r="S333" s="1594"/>
      <c r="T333" s="1594"/>
      <c r="U333" s="622"/>
      <c r="V333" s="499"/>
      <c r="W333" s="317"/>
      <c r="X333" s="317"/>
      <c r="Y333" s="317"/>
      <c r="Z333" s="317"/>
      <c r="AA333" s="1594"/>
      <c r="AB333" s="1594"/>
      <c r="AC333" s="317"/>
      <c r="AD333" s="1594"/>
      <c r="AE333" s="1594"/>
      <c r="AF333" s="1594"/>
      <c r="AG333" s="1594"/>
      <c r="AH333" s="1594"/>
      <c r="AI333" s="1594"/>
      <c r="AJ333" s="1594"/>
      <c r="AK333" s="1594"/>
      <c r="AL333" s="1594"/>
      <c r="AM333" s="534"/>
    </row>
    <row r="334" spans="1:39">
      <c r="A334" s="1584"/>
      <c r="B334" s="1594"/>
      <c r="C334" s="1594"/>
      <c r="D334" s="317"/>
      <c r="E334" s="1594"/>
      <c r="F334" s="317"/>
      <c r="G334" s="1594"/>
      <c r="Q334" s="322"/>
      <c r="R334" s="1594"/>
      <c r="S334" s="1594"/>
      <c r="T334" s="1594"/>
      <c r="U334" s="622"/>
      <c r="V334" s="499"/>
      <c r="W334" s="317"/>
      <c r="X334" s="317"/>
      <c r="Y334" s="317"/>
      <c r="Z334" s="317"/>
      <c r="AA334" s="1594"/>
      <c r="AB334" s="1594"/>
      <c r="AC334" s="317"/>
      <c r="AD334" s="1594"/>
      <c r="AE334" s="1594"/>
      <c r="AF334" s="1594"/>
      <c r="AG334" s="1594"/>
      <c r="AH334" s="1594"/>
      <c r="AI334" s="1594"/>
      <c r="AJ334" s="1594"/>
      <c r="AK334" s="1594"/>
      <c r="AL334" s="1594"/>
      <c r="AM334" s="534"/>
    </row>
    <row r="335" spans="1:39">
      <c r="A335" s="1584"/>
      <c r="B335" s="1594"/>
      <c r="C335" s="1594"/>
      <c r="D335" s="317"/>
      <c r="E335" s="1594"/>
      <c r="F335" s="317"/>
      <c r="G335" s="1594"/>
      <c r="Q335" s="322"/>
      <c r="R335" s="1594"/>
      <c r="S335" s="1594"/>
      <c r="T335" s="1594"/>
      <c r="U335" s="622"/>
      <c r="V335" s="499"/>
      <c r="W335" s="317"/>
      <c r="X335" s="317"/>
      <c r="Y335" s="317"/>
      <c r="Z335" s="317"/>
      <c r="AA335" s="1594"/>
      <c r="AB335" s="1594"/>
      <c r="AC335" s="317"/>
      <c r="AD335" s="1594"/>
      <c r="AE335" s="1594"/>
      <c r="AF335" s="1594"/>
      <c r="AG335" s="1594"/>
      <c r="AH335" s="1594"/>
      <c r="AI335" s="1594"/>
      <c r="AJ335" s="1594"/>
      <c r="AK335" s="1594"/>
      <c r="AL335" s="1594"/>
      <c r="AM335" s="534"/>
    </row>
    <row r="336" spans="1:39">
      <c r="A336" s="1589">
        <v>31</v>
      </c>
      <c r="B336" s="142" t="s">
        <v>1148</v>
      </c>
      <c r="C336" s="1585"/>
      <c r="D336" s="140" t="s">
        <v>2077</v>
      </c>
      <c r="E336" s="1585"/>
      <c r="F336" s="140" t="s">
        <v>1796</v>
      </c>
      <c r="G336" s="1585"/>
      <c r="H336" s="184"/>
      <c r="I336" s="1585"/>
      <c r="J336" s="1585"/>
      <c r="K336" s="1585"/>
      <c r="L336" s="1585"/>
      <c r="M336" s="1585"/>
      <c r="N336" s="1585"/>
      <c r="O336" s="1585"/>
      <c r="P336" s="1585"/>
      <c r="Q336" s="276" t="s">
        <v>1452</v>
      </c>
      <c r="R336" s="1585"/>
      <c r="S336" s="1585"/>
      <c r="T336" s="1585"/>
      <c r="U336" s="225" t="s">
        <v>1036</v>
      </c>
      <c r="V336" s="1586"/>
      <c r="W336" s="317"/>
      <c r="X336" s="317"/>
      <c r="Y336" s="317"/>
      <c r="Z336" s="317"/>
      <c r="AA336" s="1594"/>
      <c r="AB336" s="1594"/>
      <c r="AC336" s="317"/>
      <c r="AD336" s="1594"/>
      <c r="AE336" s="1594"/>
      <c r="AF336" s="1594"/>
      <c r="AG336" s="1594"/>
      <c r="AH336" s="1594"/>
      <c r="AI336" s="1594"/>
      <c r="AJ336" s="1594"/>
      <c r="AK336" s="1594"/>
      <c r="AL336" s="1594"/>
      <c r="AM336" s="534"/>
    </row>
    <row r="337" spans="1:39">
      <c r="A337" s="1584"/>
      <c r="B337" s="1585"/>
      <c r="C337" s="1585"/>
      <c r="D337" s="1191"/>
      <c r="E337" s="1585"/>
      <c r="F337" s="1191"/>
      <c r="G337" s="1585"/>
      <c r="H337" s="184"/>
      <c r="I337" s="1585"/>
      <c r="J337" s="1585"/>
      <c r="K337" s="1585"/>
      <c r="L337" s="1585"/>
      <c r="M337" s="1585"/>
      <c r="N337" s="1585"/>
      <c r="O337" s="1585"/>
      <c r="P337" s="1585"/>
      <c r="Q337" s="1191" t="s">
        <v>1314</v>
      </c>
      <c r="R337" s="1585"/>
      <c r="S337" s="1585"/>
      <c r="T337" s="1585"/>
      <c r="U337" s="226" t="s">
        <v>1314</v>
      </c>
      <c r="V337" s="1586"/>
      <c r="W337" s="317"/>
      <c r="X337" s="317"/>
      <c r="Y337" s="317"/>
      <c r="Z337" s="317"/>
      <c r="AA337" s="1594"/>
      <c r="AB337" s="1594"/>
      <c r="AC337" s="317"/>
      <c r="AD337" s="1594"/>
      <c r="AE337" s="1594"/>
      <c r="AF337" s="1594"/>
      <c r="AG337" s="1594"/>
      <c r="AH337" s="1594"/>
      <c r="AI337" s="1594"/>
      <c r="AJ337" s="1594"/>
      <c r="AK337" s="1594"/>
      <c r="AL337" s="1594"/>
      <c r="AM337" s="534"/>
    </row>
    <row r="338" spans="1:39">
      <c r="A338" s="1589"/>
      <c r="B338" s="142"/>
      <c r="C338" s="142"/>
      <c r="D338" s="144"/>
      <c r="E338" s="142"/>
      <c r="F338" s="144"/>
      <c r="G338" s="1595"/>
      <c r="H338" s="241"/>
      <c r="I338" s="1595"/>
      <c r="J338" s="1595"/>
      <c r="K338" s="1595"/>
      <c r="L338" s="1595"/>
      <c r="M338" s="1595"/>
      <c r="N338" s="1595"/>
      <c r="O338" s="1595"/>
      <c r="P338" s="1595"/>
      <c r="Q338" s="136"/>
      <c r="R338" s="135"/>
      <c r="S338" s="135"/>
      <c r="T338" s="135"/>
      <c r="U338" s="227"/>
      <c r="V338" s="223"/>
      <c r="W338" s="317"/>
      <c r="X338" s="317"/>
      <c r="Y338" s="317"/>
      <c r="Z338" s="317"/>
      <c r="AA338" s="1594"/>
      <c r="AB338" s="1594"/>
      <c r="AC338" s="317"/>
      <c r="AD338" s="1594"/>
      <c r="AE338" s="1594"/>
      <c r="AF338" s="1594"/>
      <c r="AG338" s="1594"/>
      <c r="AH338" s="1594"/>
      <c r="AI338" s="1594"/>
      <c r="AJ338" s="1594"/>
      <c r="AK338" s="1594"/>
      <c r="AL338" s="1594"/>
      <c r="AM338" s="534"/>
    </row>
    <row r="339" spans="1:39">
      <c r="A339" s="1584"/>
      <c r="B339" s="1595" t="s">
        <v>324</v>
      </c>
      <c r="C339" s="1595"/>
      <c r="D339" s="262"/>
      <c r="E339" s="1595"/>
      <c r="F339" s="262"/>
      <c r="G339" s="1595"/>
      <c r="H339" s="241"/>
      <c r="I339" s="1595"/>
      <c r="J339" s="1595"/>
      <c r="K339" s="1595"/>
      <c r="L339" s="1595"/>
      <c r="M339" s="1595"/>
      <c r="N339" s="1595"/>
      <c r="O339" s="1595"/>
      <c r="P339" s="1595"/>
      <c r="Q339" s="317">
        <v>0</v>
      </c>
      <c r="R339" s="1594"/>
      <c r="S339" s="1594"/>
      <c r="T339" s="1594"/>
      <c r="U339" s="621">
        <v>54022</v>
      </c>
      <c r="V339" s="499"/>
      <c r="W339" s="316" t="s">
        <v>36</v>
      </c>
      <c r="X339" s="317"/>
      <c r="Y339" s="317"/>
      <c r="Z339" s="317"/>
      <c r="AA339" s="1594"/>
      <c r="AB339" s="1594"/>
      <c r="AC339" s="317"/>
      <c r="AD339" s="1594"/>
      <c r="AE339" s="1594"/>
      <c r="AF339" s="1594"/>
      <c r="AG339" s="1594"/>
      <c r="AH339" s="1594"/>
      <c r="AI339" s="1594"/>
      <c r="AJ339" s="1594"/>
      <c r="AK339" s="1594"/>
      <c r="AL339" s="1594"/>
      <c r="AM339" s="534"/>
    </row>
    <row r="340" spans="1:39">
      <c r="A340" s="1584"/>
      <c r="B340" s="1595" t="s">
        <v>22</v>
      </c>
      <c r="C340" s="1595"/>
      <c r="D340" s="331">
        <f>'TRAIL BALANCE'!F223</f>
        <v>3000000</v>
      </c>
      <c r="E340" s="1595"/>
      <c r="F340" s="331">
        <f>'TRAIL BALANCE'!E223</f>
        <v>2750000</v>
      </c>
      <c r="G340" s="1595"/>
      <c r="H340" s="241"/>
      <c r="I340" s="1595"/>
      <c r="J340" s="1595"/>
      <c r="K340" s="1595"/>
      <c r="L340" s="1595"/>
      <c r="M340" s="1595"/>
      <c r="N340" s="1595"/>
      <c r="O340" s="1595"/>
      <c r="P340" s="1595"/>
      <c r="Q340" s="317" t="e">
        <f>'TRAIL BALANCE'!#REF!</f>
        <v>#REF!</v>
      </c>
      <c r="R340" s="1594"/>
      <c r="S340" s="1594"/>
      <c r="T340" s="1594"/>
      <c r="U340" s="621">
        <v>0</v>
      </c>
      <c r="V340" s="499"/>
      <c r="W340" s="316"/>
      <c r="X340" s="317"/>
      <c r="Y340" s="317"/>
      <c r="Z340" s="317"/>
      <c r="AA340" s="1594"/>
      <c r="AB340" s="1594"/>
      <c r="AC340" s="317"/>
      <c r="AD340" s="1594"/>
      <c r="AE340" s="1594"/>
      <c r="AF340" s="1594"/>
      <c r="AG340" s="1594"/>
      <c r="AH340" s="1594"/>
      <c r="AI340" s="1594"/>
      <c r="AJ340" s="1594"/>
      <c r="AK340" s="1594"/>
      <c r="AL340" s="1594"/>
      <c r="AM340" s="534"/>
    </row>
    <row r="341" spans="1:39">
      <c r="A341" s="1584"/>
      <c r="B341" s="1595" t="s">
        <v>23</v>
      </c>
      <c r="C341" s="1595"/>
      <c r="D341" s="327">
        <f>'TRAIL BALANCE'!F268</f>
        <v>750000</v>
      </c>
      <c r="E341" s="1595"/>
      <c r="F341" s="327">
        <f>'TRAIL BALANCE'!E268</f>
        <v>735000</v>
      </c>
      <c r="G341" s="1595"/>
      <c r="H341" s="241"/>
      <c r="I341" s="1595"/>
      <c r="J341" s="1595"/>
      <c r="K341" s="1595"/>
      <c r="L341" s="1595"/>
      <c r="M341" s="1595"/>
      <c r="N341" s="1595"/>
      <c r="O341" s="1595"/>
      <c r="P341" s="1595"/>
      <c r="Q341" s="317" t="e">
        <f>'TRAIL BALANCE'!#REF!</f>
        <v>#REF!</v>
      </c>
      <c r="R341" s="1594"/>
      <c r="S341" s="1594"/>
      <c r="T341" s="1594"/>
      <c r="U341" s="621">
        <v>0</v>
      </c>
      <c r="V341" s="499"/>
      <c r="W341" s="316"/>
      <c r="X341" s="317"/>
      <c r="Y341" s="317"/>
      <c r="Z341" s="317"/>
      <c r="AA341" s="1594"/>
      <c r="AB341" s="1594"/>
      <c r="AC341" s="317"/>
      <c r="AD341" s="1594"/>
      <c r="AE341" s="1594"/>
      <c r="AF341" s="1594"/>
      <c r="AG341" s="1594"/>
      <c r="AH341" s="1594"/>
      <c r="AI341" s="1594"/>
      <c r="AJ341" s="1594"/>
      <c r="AK341" s="1594"/>
      <c r="AL341" s="1594"/>
      <c r="AM341" s="534"/>
    </row>
    <row r="342" spans="1:39">
      <c r="A342" s="1584"/>
      <c r="B342" s="1595"/>
      <c r="C342" s="1595"/>
      <c r="D342" s="325"/>
      <c r="E342" s="1595"/>
      <c r="F342" s="325"/>
      <c r="G342" s="1595"/>
      <c r="H342" s="241"/>
      <c r="I342" s="1595"/>
      <c r="J342" s="1595"/>
      <c r="K342" s="1595"/>
      <c r="L342" s="1595"/>
      <c r="M342" s="1595"/>
      <c r="N342" s="1595"/>
      <c r="O342" s="1595"/>
      <c r="P342" s="1595"/>
      <c r="Q342" s="317"/>
      <c r="R342" s="1594"/>
      <c r="S342" s="1594"/>
      <c r="T342" s="1594"/>
      <c r="U342" s="621"/>
      <c r="V342" s="499"/>
      <c r="W342" s="317"/>
      <c r="X342" s="317"/>
      <c r="Y342" s="317"/>
      <c r="Z342" s="317"/>
      <c r="AA342" s="1594"/>
      <c r="AB342" s="1594"/>
      <c r="AC342" s="317"/>
      <c r="AD342" s="1594"/>
      <c r="AE342" s="1594"/>
      <c r="AF342" s="1594"/>
      <c r="AG342" s="1594"/>
      <c r="AH342" s="1594"/>
      <c r="AI342" s="1594"/>
      <c r="AJ342" s="1594"/>
      <c r="AK342" s="1594"/>
      <c r="AL342" s="1594"/>
      <c r="AM342" s="534"/>
    </row>
    <row r="343" spans="1:39" ht="13.5" thickBot="1">
      <c r="A343" s="1584"/>
      <c r="B343" s="142" t="s">
        <v>1108</v>
      </c>
      <c r="C343" s="142"/>
      <c r="D343" s="143">
        <f>SUM(D339:D342)</f>
        <v>3750000</v>
      </c>
      <c r="E343" s="142"/>
      <c r="F343" s="143">
        <f>SUM(F339:F342)</f>
        <v>3485000</v>
      </c>
      <c r="G343" s="1595"/>
      <c r="H343" s="241"/>
      <c r="I343" s="1595"/>
      <c r="J343" s="1595"/>
      <c r="K343" s="1595"/>
      <c r="L343" s="1595"/>
      <c r="M343" s="1595"/>
      <c r="N343" s="1595"/>
      <c r="O343" s="1595"/>
      <c r="P343" s="1595"/>
      <c r="Q343" s="143" t="e">
        <f>SUM(Q339:Q342)</f>
        <v>#REF!</v>
      </c>
      <c r="R343" s="1594"/>
      <c r="S343" s="1594"/>
      <c r="T343" s="1594"/>
      <c r="U343" s="246">
        <f>SUM(U339:U342)</f>
        <v>54022</v>
      </c>
      <c r="V343" s="499"/>
      <c r="W343" s="317"/>
      <c r="X343" s="317"/>
      <c r="Y343" s="317"/>
      <c r="Z343" s="317"/>
      <c r="AA343" s="1594"/>
      <c r="AB343" s="1594"/>
      <c r="AC343" s="317"/>
      <c r="AD343" s="1594"/>
      <c r="AE343" s="1594"/>
      <c r="AF343" s="1594"/>
      <c r="AG343" s="1594"/>
      <c r="AH343" s="1594"/>
      <c r="AI343" s="1594"/>
      <c r="AJ343" s="1594"/>
      <c r="AK343" s="1594"/>
      <c r="AL343" s="1594"/>
      <c r="AM343" s="534"/>
    </row>
    <row r="344" spans="1:39" ht="13.5" thickTop="1">
      <c r="A344" s="1584"/>
      <c r="B344" s="1594"/>
      <c r="C344" s="1594"/>
      <c r="D344" s="317"/>
      <c r="E344" s="1594"/>
      <c r="F344" s="317"/>
      <c r="G344" s="1594"/>
      <c r="Q344" s="317"/>
      <c r="R344" s="1594"/>
      <c r="S344" s="1594"/>
      <c r="T344" s="1594"/>
      <c r="U344" s="621"/>
      <c r="V344" s="499"/>
      <c r="W344" s="317"/>
      <c r="X344" s="317"/>
      <c r="Y344" s="317"/>
      <c r="Z344" s="317"/>
      <c r="AA344" s="1594"/>
      <c r="AB344" s="1594"/>
      <c r="AC344" s="317"/>
      <c r="AD344" s="1594"/>
      <c r="AE344" s="1594"/>
      <c r="AF344" s="1594"/>
      <c r="AG344" s="1594"/>
      <c r="AH344" s="1594"/>
      <c r="AI344" s="1594"/>
      <c r="AJ344" s="1594"/>
      <c r="AK344" s="1594"/>
      <c r="AL344" s="1594"/>
      <c r="AM344" s="534"/>
    </row>
    <row r="345" spans="1:39">
      <c r="A345" s="1584"/>
      <c r="B345" s="211" t="s">
        <v>1149</v>
      </c>
      <c r="C345" s="211"/>
      <c r="D345" s="328"/>
      <c r="E345" s="211"/>
      <c r="F345" s="328"/>
      <c r="G345" s="1594"/>
      <c r="Q345" s="317"/>
      <c r="R345" s="1594"/>
      <c r="S345" s="1594"/>
      <c r="T345" s="1594"/>
      <c r="U345" s="621"/>
      <c r="V345" s="499"/>
      <c r="W345" s="317"/>
      <c r="X345" s="317"/>
      <c r="Y345" s="317"/>
      <c r="Z345" s="317"/>
      <c r="AA345" s="1594"/>
      <c r="AB345" s="1594"/>
      <c r="AC345" s="317"/>
      <c r="AD345" s="1594"/>
      <c r="AE345" s="1594"/>
      <c r="AF345" s="1594"/>
      <c r="AG345" s="1594"/>
      <c r="AH345" s="1594"/>
      <c r="AI345" s="1594"/>
      <c r="AJ345" s="1594"/>
      <c r="AK345" s="1594"/>
      <c r="AL345" s="1594"/>
      <c r="AM345" s="534"/>
    </row>
    <row r="346" spans="1:39">
      <c r="A346" s="279"/>
      <c r="B346" s="314"/>
      <c r="C346" s="314"/>
      <c r="D346" s="315"/>
      <c r="E346" s="314"/>
      <c r="F346" s="315"/>
      <c r="G346" s="314"/>
      <c r="Q346" s="315"/>
      <c r="R346" s="314"/>
      <c r="S346" s="314"/>
      <c r="T346" s="314"/>
      <c r="U346" s="634"/>
      <c r="V346" s="635"/>
      <c r="W346" s="317"/>
      <c r="X346" s="317"/>
      <c r="Y346" s="317"/>
      <c r="Z346" s="317"/>
      <c r="AA346" s="1594"/>
      <c r="AB346" s="1594"/>
      <c r="AC346" s="317"/>
      <c r="AD346" s="1594"/>
      <c r="AE346" s="1594"/>
      <c r="AF346" s="1594"/>
      <c r="AG346" s="1594"/>
      <c r="AH346" s="1594"/>
      <c r="AI346" s="1594"/>
      <c r="AJ346" s="1594"/>
      <c r="AK346" s="1594"/>
      <c r="AL346" s="1594"/>
      <c r="AM346" s="534"/>
    </row>
    <row r="347" spans="1:39">
      <c r="A347" s="280"/>
      <c r="B347" s="321"/>
      <c r="C347" s="321"/>
      <c r="D347" s="322"/>
      <c r="E347" s="321"/>
      <c r="F347" s="322"/>
      <c r="G347" s="321"/>
      <c r="Q347" s="322"/>
      <c r="R347" s="321"/>
      <c r="S347" s="321"/>
      <c r="T347" s="321"/>
      <c r="U347" s="622"/>
      <c r="V347" s="623"/>
      <c r="W347" s="317"/>
      <c r="X347" s="317"/>
      <c r="Y347" s="317"/>
      <c r="Z347" s="317"/>
      <c r="AA347" s="1594"/>
      <c r="AB347" s="1594"/>
      <c r="AC347" s="317"/>
      <c r="AD347" s="1594"/>
      <c r="AE347" s="1594"/>
      <c r="AF347" s="1594"/>
      <c r="AG347" s="1594"/>
      <c r="AH347" s="1594"/>
      <c r="AI347" s="1594"/>
      <c r="AJ347" s="1594"/>
      <c r="AK347" s="1594"/>
      <c r="AL347" s="1594"/>
      <c r="AM347" s="534"/>
    </row>
    <row r="348" spans="1:39">
      <c r="A348" s="1589">
        <v>32</v>
      </c>
      <c r="B348" s="142" t="s">
        <v>1341</v>
      </c>
      <c r="C348" s="1585"/>
      <c r="D348" s="140" t="s">
        <v>2077</v>
      </c>
      <c r="E348" s="1585"/>
      <c r="F348" s="140" t="s">
        <v>1796</v>
      </c>
      <c r="G348" s="1585"/>
      <c r="H348" s="184"/>
      <c r="I348" s="1585"/>
      <c r="J348" s="1585"/>
      <c r="K348" s="1585"/>
      <c r="L348" s="1585"/>
      <c r="M348" s="1585"/>
      <c r="N348" s="1585"/>
      <c r="O348" s="1585"/>
      <c r="P348" s="1585"/>
      <c r="Q348" s="276" t="s">
        <v>1452</v>
      </c>
      <c r="R348" s="1585"/>
      <c r="S348" s="1585"/>
      <c r="T348" s="1585"/>
      <c r="U348" s="225" t="s">
        <v>1036</v>
      </c>
      <c r="V348" s="1586"/>
      <c r="W348" s="317"/>
      <c r="X348" s="317"/>
      <c r="Y348" s="317"/>
      <c r="Z348" s="317"/>
      <c r="AA348" s="1594"/>
      <c r="AB348" s="1594"/>
      <c r="AC348" s="317"/>
      <c r="AD348" s="1594"/>
      <c r="AE348" s="1594"/>
      <c r="AF348" s="1594"/>
      <c r="AG348" s="1594"/>
      <c r="AH348" s="1594"/>
      <c r="AI348" s="1594"/>
      <c r="AJ348" s="1594"/>
      <c r="AK348" s="1594"/>
      <c r="AL348" s="1594"/>
      <c r="AM348" s="534"/>
    </row>
    <row r="349" spans="1:39">
      <c r="A349" s="1584"/>
      <c r="B349" s="1585"/>
      <c r="C349" s="1585"/>
      <c r="D349" s="1191"/>
      <c r="E349" s="1585"/>
      <c r="F349" s="1191"/>
      <c r="G349" s="1585"/>
      <c r="H349" s="184"/>
      <c r="I349" s="1585"/>
      <c r="J349" s="1585"/>
      <c r="K349" s="1585"/>
      <c r="L349" s="1585"/>
      <c r="M349" s="1585"/>
      <c r="N349" s="1585"/>
      <c r="O349" s="1585"/>
      <c r="P349" s="1585"/>
      <c r="Q349" s="1191"/>
      <c r="R349" s="1585"/>
      <c r="S349" s="1585"/>
      <c r="T349" s="1585"/>
      <c r="U349" s="226"/>
      <c r="V349" s="1586"/>
      <c r="W349" s="317"/>
      <c r="X349" s="317"/>
      <c r="Y349" s="317"/>
      <c r="Z349" s="317"/>
      <c r="AA349" s="1594"/>
      <c r="AB349" s="1594"/>
      <c r="AC349" s="317"/>
      <c r="AD349" s="1594"/>
      <c r="AE349" s="1594"/>
      <c r="AF349" s="1594"/>
      <c r="AG349" s="1594"/>
      <c r="AH349" s="1594"/>
      <c r="AI349" s="1594"/>
      <c r="AJ349" s="1594"/>
      <c r="AK349" s="1594"/>
      <c r="AL349" s="1594"/>
      <c r="AM349" s="534"/>
    </row>
    <row r="350" spans="1:39">
      <c r="A350" s="1589"/>
      <c r="B350" s="142"/>
      <c r="C350" s="142"/>
      <c r="D350" s="144"/>
      <c r="E350" s="142"/>
      <c r="F350" s="144"/>
      <c r="G350" s="1595"/>
      <c r="H350" s="241"/>
      <c r="I350" s="1595"/>
      <c r="J350" s="1595"/>
      <c r="K350" s="1595"/>
      <c r="L350" s="1595"/>
      <c r="M350" s="1595"/>
      <c r="N350" s="1595"/>
      <c r="O350" s="1595"/>
      <c r="P350" s="1595"/>
      <c r="Q350" s="136"/>
      <c r="R350" s="135"/>
      <c r="S350" s="135"/>
      <c r="T350" s="135"/>
      <c r="U350" s="227"/>
      <c r="V350" s="223"/>
      <c r="W350" s="317"/>
      <c r="X350" s="317"/>
      <c r="Y350" s="317"/>
      <c r="Z350" s="317"/>
      <c r="AA350" s="1594"/>
      <c r="AB350" s="1594"/>
      <c r="AC350" s="317"/>
      <c r="AD350" s="1594"/>
      <c r="AE350" s="1594"/>
      <c r="AF350" s="1594"/>
      <c r="AG350" s="1594"/>
      <c r="AH350" s="1594"/>
      <c r="AI350" s="1594"/>
      <c r="AJ350" s="1594"/>
      <c r="AK350" s="1594"/>
      <c r="AL350" s="1594"/>
      <c r="AM350" s="534"/>
    </row>
    <row r="351" spans="1:39">
      <c r="A351" s="1584"/>
      <c r="B351" s="1595" t="s">
        <v>410</v>
      </c>
      <c r="C351" s="1595"/>
      <c r="D351" s="262">
        <f>'GENERAL EXP NOTA 35'!G8</f>
        <v>38789.699999999997</v>
      </c>
      <c r="E351" s="1595"/>
      <c r="F351" s="262">
        <f>'GENERAL EXP NOTA 35'!E4+'GENERAL EXP NOTA 35'!E5+'GENERAL EXP NOTA 35'!E6+'GENERAL EXP NOTA 35'!E8</f>
        <v>199793.91999999998</v>
      </c>
      <c r="G351" s="1595"/>
      <c r="H351" s="241"/>
      <c r="I351" s="1595"/>
      <c r="J351" s="1595"/>
      <c r="K351" s="1595"/>
      <c r="L351" s="1595"/>
      <c r="M351" s="1595"/>
      <c r="N351" s="1595"/>
      <c r="O351" s="1595"/>
      <c r="P351" s="1595"/>
      <c r="Q351" s="317" t="e">
        <f>#REF!+#REF!+#REF!+#REF!</f>
        <v>#REF!</v>
      </c>
      <c r="R351" s="1594"/>
      <c r="S351" s="1594"/>
      <c r="T351" s="1594"/>
      <c r="U351" s="621" t="e">
        <f>#REF!+#REF!+#REF!+#REF!+#REF!</f>
        <v>#REF!</v>
      </c>
      <c r="V351" s="499"/>
      <c r="W351" s="317"/>
      <c r="X351" s="317"/>
      <c r="Y351" s="317"/>
      <c r="Z351" s="317"/>
      <c r="AA351" s="1594"/>
      <c r="AB351" s="1594"/>
      <c r="AC351" s="317"/>
      <c r="AD351" s="1594"/>
      <c r="AE351" s="1594"/>
      <c r="AF351" s="1594"/>
      <c r="AG351" s="1594"/>
      <c r="AH351" s="1594"/>
      <c r="AI351" s="1594"/>
      <c r="AJ351" s="1594"/>
      <c r="AK351" s="1594"/>
      <c r="AL351" s="1594"/>
      <c r="AM351" s="534"/>
    </row>
    <row r="352" spans="1:39">
      <c r="A352" s="1584"/>
      <c r="B352" s="1595" t="s">
        <v>1920</v>
      </c>
      <c r="C352" s="1595"/>
      <c r="D352" s="331">
        <f>'GENERAL EXP NOTA 35'!F9</f>
        <v>401024.75</v>
      </c>
      <c r="E352" s="1595"/>
      <c r="F352" s="331">
        <f>'GENERAL EXP NOTA 35'!E9</f>
        <v>1436790.58</v>
      </c>
      <c r="G352" s="1595"/>
      <c r="H352" s="241"/>
      <c r="I352" s="1595"/>
      <c r="J352" s="1595"/>
      <c r="K352" s="1595"/>
      <c r="L352" s="1595"/>
      <c r="M352" s="1595"/>
      <c r="N352" s="1595"/>
      <c r="O352" s="1595"/>
      <c r="P352" s="1595"/>
      <c r="Q352" s="317" t="e">
        <f>#REF!</f>
        <v>#REF!</v>
      </c>
      <c r="R352" s="1594"/>
      <c r="S352" s="1594"/>
      <c r="T352" s="1594"/>
      <c r="U352" s="621"/>
      <c r="V352" s="499"/>
      <c r="W352" s="317"/>
      <c r="X352" s="317"/>
      <c r="Y352" s="317"/>
      <c r="Z352" s="317"/>
      <c r="AA352" s="1594"/>
      <c r="AB352" s="1594"/>
      <c r="AC352" s="317"/>
      <c r="AD352" s="1594"/>
      <c r="AE352" s="1594"/>
      <c r="AF352" s="1594"/>
      <c r="AG352" s="1594"/>
      <c r="AH352" s="1594"/>
      <c r="AI352" s="1594"/>
      <c r="AJ352" s="1594"/>
      <c r="AK352" s="1594"/>
      <c r="AL352" s="1594"/>
      <c r="AM352" s="534"/>
    </row>
    <row r="353" spans="1:39">
      <c r="A353" s="1584"/>
      <c r="B353" s="1595" t="s">
        <v>1921</v>
      </c>
      <c r="C353" s="1595"/>
      <c r="D353" s="331">
        <f>'GENERAL EXP NOTA 35'!F10</f>
        <v>1413891.9600000002</v>
      </c>
      <c r="E353" s="1595"/>
      <c r="F353" s="331">
        <f>'GENERAL EXP NOTA 35'!E10</f>
        <v>728360.41</v>
      </c>
      <c r="G353" s="1595"/>
      <c r="H353" s="241"/>
      <c r="I353" s="1595"/>
      <c r="J353" s="1595"/>
      <c r="K353" s="1595"/>
      <c r="L353" s="1595"/>
      <c r="M353" s="1595"/>
      <c r="N353" s="1595"/>
      <c r="O353" s="1595"/>
      <c r="P353" s="1595"/>
      <c r="Q353" s="317" t="e">
        <f>#REF!</f>
        <v>#REF!</v>
      </c>
      <c r="R353" s="1594"/>
      <c r="S353" s="1594"/>
      <c r="T353" s="1594"/>
      <c r="U353" s="621" t="e">
        <f>#REF!</f>
        <v>#REF!</v>
      </c>
      <c r="V353" s="499"/>
      <c r="W353" s="317"/>
      <c r="X353" s="317"/>
      <c r="Y353" s="317"/>
      <c r="Z353" s="317"/>
      <c r="AA353" s="1594"/>
      <c r="AB353" s="1594"/>
      <c r="AC353" s="317"/>
      <c r="AD353" s="1594"/>
      <c r="AE353" s="1594"/>
      <c r="AF353" s="1594"/>
      <c r="AG353" s="1594"/>
      <c r="AH353" s="1594"/>
      <c r="AI353" s="1594"/>
      <c r="AJ353" s="1594"/>
      <c r="AK353" s="1594"/>
      <c r="AL353" s="1594"/>
      <c r="AM353" s="534"/>
    </row>
    <row r="354" spans="1:39">
      <c r="A354" s="1584"/>
      <c r="B354" s="1595" t="s">
        <v>1922</v>
      </c>
      <c r="C354" s="1595"/>
      <c r="D354" s="331">
        <f>'GENERAL EXP NOTA 35'!F11</f>
        <v>226464.78</v>
      </c>
      <c r="E354" s="1595"/>
      <c r="F354" s="331">
        <f>'GENERAL EXP NOTA 35'!E11</f>
        <v>355338.47</v>
      </c>
      <c r="G354" s="1595"/>
      <c r="H354" s="241"/>
      <c r="I354" s="1595"/>
      <c r="J354" s="1595"/>
      <c r="K354" s="1595"/>
      <c r="L354" s="1595"/>
      <c r="M354" s="1595"/>
      <c r="N354" s="1595"/>
      <c r="O354" s="1595"/>
      <c r="P354" s="1595"/>
      <c r="Q354" s="317" t="e">
        <f>#REF!</f>
        <v>#REF!</v>
      </c>
      <c r="R354" s="1594"/>
      <c r="S354" s="1594"/>
      <c r="T354" s="1594"/>
      <c r="U354" s="621" t="e">
        <f>#REF!</f>
        <v>#REF!</v>
      </c>
      <c r="V354" s="499"/>
      <c r="W354" s="317"/>
      <c r="X354" s="317"/>
      <c r="Y354" s="317"/>
      <c r="Z354" s="317"/>
      <c r="AA354" s="1594"/>
      <c r="AB354" s="1594"/>
      <c r="AC354" s="317"/>
      <c r="AD354" s="1594"/>
      <c r="AE354" s="1594"/>
      <c r="AF354" s="1594"/>
      <c r="AG354" s="1594"/>
      <c r="AH354" s="1594"/>
      <c r="AI354" s="1594"/>
      <c r="AJ354" s="1594"/>
      <c r="AK354" s="1594"/>
      <c r="AL354" s="1594"/>
      <c r="AM354" s="534"/>
    </row>
    <row r="355" spans="1:39">
      <c r="A355" s="1584"/>
      <c r="B355" s="1595" t="s">
        <v>1923</v>
      </c>
      <c r="C355" s="1595"/>
      <c r="D355" s="331">
        <f>'GENERAL EXP NOTA 35'!F12</f>
        <v>0</v>
      </c>
      <c r="E355" s="1595"/>
      <c r="F355" s="331">
        <f>'GENERAL EXP NOTA 35'!E12</f>
        <v>3325</v>
      </c>
      <c r="G355" s="1595"/>
      <c r="H355" s="241"/>
      <c r="I355" s="1595"/>
      <c r="J355" s="1595"/>
      <c r="K355" s="1595"/>
      <c r="L355" s="1595"/>
      <c r="M355" s="1595"/>
      <c r="N355" s="1595"/>
      <c r="O355" s="1595"/>
      <c r="P355" s="1595"/>
      <c r="Q355" s="317" t="e">
        <f>#REF!</f>
        <v>#REF!</v>
      </c>
      <c r="R355" s="1594"/>
      <c r="S355" s="1594"/>
      <c r="T355" s="1594"/>
      <c r="U355" s="621" t="e">
        <f>#REF!</f>
        <v>#REF!</v>
      </c>
      <c r="V355" s="499"/>
      <c r="W355" s="317"/>
      <c r="X355" s="317"/>
      <c r="Y355" s="317"/>
      <c r="Z355" s="317"/>
      <c r="AA355" s="1594"/>
      <c r="AB355" s="1594"/>
      <c r="AC355" s="317"/>
      <c r="AD355" s="1594"/>
      <c r="AE355" s="1594"/>
      <c r="AF355" s="1594"/>
      <c r="AG355" s="1594"/>
      <c r="AH355" s="1594"/>
      <c r="AI355" s="1594"/>
      <c r="AJ355" s="1594"/>
      <c r="AK355" s="1594"/>
      <c r="AL355" s="1594"/>
      <c r="AM355" s="534"/>
    </row>
    <row r="356" spans="1:39">
      <c r="A356" s="1584"/>
      <c r="B356" s="1595" t="s">
        <v>1924</v>
      </c>
      <c r="C356" s="1595"/>
      <c r="D356" s="331">
        <f>'GENERAL EXP NOTA 35'!F13</f>
        <v>209373.43</v>
      </c>
      <c r="E356" s="1595"/>
      <c r="F356" s="331">
        <f>'GENERAL EXP NOTA 35'!E13</f>
        <v>304405.32</v>
      </c>
      <c r="G356" s="1595"/>
      <c r="H356" s="241"/>
      <c r="I356" s="1595"/>
      <c r="J356" s="1595"/>
      <c r="K356" s="1595"/>
      <c r="L356" s="1595"/>
      <c r="M356" s="1595"/>
      <c r="N356" s="1595"/>
      <c r="O356" s="1595"/>
      <c r="P356" s="1595"/>
      <c r="Q356" s="317" t="e">
        <f>#REF!</f>
        <v>#REF!</v>
      </c>
      <c r="R356" s="1594"/>
      <c r="S356" s="1594"/>
      <c r="T356" s="1594"/>
      <c r="U356" s="621" t="e">
        <f>#REF!</f>
        <v>#REF!</v>
      </c>
      <c r="V356" s="499"/>
      <c r="W356" s="317"/>
      <c r="X356" s="317"/>
      <c r="Y356" s="317"/>
      <c r="Z356" s="317"/>
      <c r="AA356" s="1594"/>
      <c r="AB356" s="1594"/>
      <c r="AC356" s="317"/>
      <c r="AD356" s="1594"/>
      <c r="AE356" s="1594"/>
      <c r="AF356" s="1594"/>
      <c r="AG356" s="1594"/>
      <c r="AH356" s="1594"/>
      <c r="AI356" s="1594"/>
      <c r="AJ356" s="1594"/>
      <c r="AK356" s="1594"/>
      <c r="AL356" s="1594"/>
      <c r="AM356" s="534"/>
    </row>
    <row r="357" spans="1:39">
      <c r="A357" s="1584"/>
      <c r="B357" s="1595" t="s">
        <v>1912</v>
      </c>
      <c r="C357" s="1595"/>
      <c r="D357" s="331">
        <f>'GENERAL EXP NOTA 35'!F14</f>
        <v>0</v>
      </c>
      <c r="E357" s="1595"/>
      <c r="F357" s="331">
        <f>'GENERAL EXP NOTA 35'!E14</f>
        <v>20386.37</v>
      </c>
      <c r="G357" s="1595"/>
      <c r="H357" s="241"/>
      <c r="I357" s="1595"/>
      <c r="J357" s="1595"/>
      <c r="K357" s="1595"/>
      <c r="L357" s="1595"/>
      <c r="M357" s="1595"/>
      <c r="N357" s="1595"/>
      <c r="O357" s="1595"/>
      <c r="P357" s="1595"/>
      <c r="Q357" s="317"/>
      <c r="R357" s="1594"/>
      <c r="S357" s="1594"/>
      <c r="T357" s="1594"/>
      <c r="U357" s="621"/>
      <c r="V357" s="499"/>
      <c r="W357" s="317"/>
      <c r="X357" s="317"/>
      <c r="Y357" s="317"/>
      <c r="Z357" s="317"/>
      <c r="AA357" s="1594"/>
      <c r="AB357" s="1594"/>
      <c r="AC357" s="317"/>
      <c r="AD357" s="1594"/>
      <c r="AE357" s="1594"/>
      <c r="AF357" s="1594"/>
      <c r="AG357" s="1594"/>
      <c r="AH357" s="1594"/>
      <c r="AI357" s="1594"/>
      <c r="AJ357" s="1594"/>
      <c r="AK357" s="1594"/>
      <c r="AL357" s="1594"/>
      <c r="AM357" s="534"/>
    </row>
    <row r="358" spans="1:39">
      <c r="A358" s="1584"/>
      <c r="B358" s="1595" t="s">
        <v>1925</v>
      </c>
      <c r="C358" s="1595"/>
      <c r="D358" s="331">
        <f>'GENERAL EXP NOTA 35'!G24</f>
        <v>49584.85</v>
      </c>
      <c r="E358" s="1595"/>
      <c r="F358" s="331">
        <f>'GENERAL EXP NOTA 35'!E15+'GENERAL EXP NOTA 35'!E16+'GENERAL EXP NOTA 35'!E18+'GENERAL EXP NOTA 35'!E19+'GENERAL EXP NOTA 35'!E20+'GENERAL EXP NOTA 35'!E21+'GENERAL EXP NOTA 35'!E22+'GENERAL EXP NOTA 35'!E23+'GENERAL EXP NOTA 35'!E24</f>
        <v>162406.95000000001</v>
      </c>
      <c r="G358" s="1595"/>
      <c r="H358" s="241"/>
      <c r="I358" s="1595"/>
      <c r="J358" s="1595"/>
      <c r="K358" s="1595"/>
      <c r="L358" s="1595"/>
      <c r="M358" s="1595"/>
      <c r="N358" s="1595"/>
      <c r="O358" s="1595"/>
      <c r="P358" s="1595"/>
      <c r="Q358" s="317" t="e">
        <f>#REF!+#REF!+#REF!+#REF!+#REF!+#REF!+#REF!+#REF!+#REF!+#REF!+#REF!+#REF!+#REF!</f>
        <v>#REF!</v>
      </c>
      <c r="R358" s="1594"/>
      <c r="S358" s="1594"/>
      <c r="T358" s="1594"/>
      <c r="U358" s="621" t="e">
        <f>#REF!+#REF!+#REF!+#REF!+#REF!+#REF!+#REF!+#REF!+#REF!</f>
        <v>#REF!</v>
      </c>
      <c r="V358" s="499"/>
      <c r="W358" s="317"/>
      <c r="X358" s="317"/>
      <c r="Y358" s="317"/>
      <c r="Z358" s="317"/>
      <c r="AA358" s="1594"/>
      <c r="AB358" s="1594"/>
      <c r="AC358" s="317"/>
      <c r="AD358" s="1594"/>
      <c r="AE358" s="1594"/>
      <c r="AF358" s="1594"/>
      <c r="AG358" s="1594"/>
      <c r="AH358" s="1594"/>
      <c r="AI358" s="1594"/>
      <c r="AJ358" s="1594"/>
      <c r="AK358" s="1594"/>
      <c r="AL358" s="1594"/>
      <c r="AM358" s="534"/>
    </row>
    <row r="359" spans="1:39">
      <c r="A359" s="1584"/>
      <c r="B359" s="1595" t="s">
        <v>1994</v>
      </c>
      <c r="C359" s="1595"/>
      <c r="D359" s="331">
        <f>'GENERAL EXP NOTA 35'!G30</f>
        <v>1966802.1</v>
      </c>
      <c r="E359" s="1595"/>
      <c r="F359" s="331">
        <f>'GENERAL EXP NOTA 35'!E26+'GENERAL EXP NOTA 35'!E27+'GENERAL EXP NOTA 35'!E28+'GENERAL EXP NOTA 35'!E29+'GENERAL EXP NOTA 35'!E30</f>
        <v>2964755.8699999996</v>
      </c>
      <c r="G359" s="1595"/>
      <c r="H359" s="241"/>
      <c r="I359" s="1595"/>
      <c r="J359" s="1595"/>
      <c r="K359" s="1595"/>
      <c r="L359" s="1595"/>
      <c r="M359" s="1595"/>
      <c r="N359" s="1595"/>
      <c r="O359" s="1595"/>
      <c r="P359" s="1595"/>
      <c r="Q359" s="317" t="e">
        <f>#REF!+#REF!+#REF!+#REF!+#REF!+#REF!</f>
        <v>#REF!</v>
      </c>
      <c r="R359" s="1594"/>
      <c r="S359" s="1594"/>
      <c r="T359" s="1594"/>
      <c r="U359" s="621" t="e">
        <f>#REF!+#REF!+#REF!+#REF!+#REF!+#REF!</f>
        <v>#REF!</v>
      </c>
      <c r="V359" s="499"/>
      <c r="W359" s="317"/>
      <c r="X359" s="317"/>
      <c r="Y359" s="317"/>
      <c r="Z359" s="317"/>
      <c r="AA359" s="1594"/>
      <c r="AB359" s="1594"/>
      <c r="AC359" s="317"/>
      <c r="AD359" s="1594"/>
      <c r="AE359" s="1594"/>
      <c r="AF359" s="1594"/>
      <c r="AG359" s="1594"/>
      <c r="AH359" s="1594"/>
      <c r="AI359" s="1594"/>
      <c r="AJ359" s="1594"/>
      <c r="AK359" s="1594"/>
      <c r="AL359" s="1594"/>
      <c r="AM359" s="534"/>
    </row>
    <row r="360" spans="1:39">
      <c r="A360" s="1584"/>
      <c r="B360" s="1595" t="s">
        <v>1995</v>
      </c>
      <c r="C360" s="1595"/>
      <c r="D360" s="331">
        <f>'GENERAL EXP NOTA 35'!G45</f>
        <v>208832.34</v>
      </c>
      <c r="E360" s="1595"/>
      <c r="F360" s="331">
        <f>'GENERAL EXP NOTA 35'!E31+'GENERAL EXP NOTA 35'!E32+'GENERAL EXP NOTA 35'!E33+'GENERAL EXP NOTA 35'!E34+'GENERAL EXP NOTA 35'!E35+'GENERAL EXP NOTA 35'!E36+'GENERAL EXP NOTA 35'!E37+'GENERAL EXP NOTA 35'!E38+'GENERAL EXP NOTA 35'!E39+'GENERAL EXP NOTA 35'!E40+'GENERAL EXP NOTA 35'!E41+'GENERAL EXP NOTA 35'!E42+'GENERAL EXP NOTA 35'!E43+'GENERAL EXP NOTA 35'!E45</f>
        <v>254002.26000000004</v>
      </c>
      <c r="G360" s="1595"/>
      <c r="H360" s="241"/>
      <c r="I360" s="1595"/>
      <c r="J360" s="1595"/>
      <c r="K360" s="1595"/>
      <c r="L360" s="1595"/>
      <c r="M360" s="1595"/>
      <c r="N360" s="1595"/>
      <c r="O360" s="1595"/>
      <c r="P360" s="1595"/>
      <c r="Q360" s="317" t="e">
        <f>#REF!+#REF!+#REF!+#REF!+#REF!+#REF!+#REF!+#REF!+#REF!+#REF!+#REF!+#REF!+#REF!</f>
        <v>#REF!</v>
      </c>
      <c r="R360" s="1594"/>
      <c r="S360" s="1594"/>
      <c r="T360" s="1594"/>
      <c r="U360" s="621" t="e">
        <f>#REF!+#REF!+#REF!+#REF!+#REF!+#REF!+#REF!+#REF!+#REF!+#REF!+#REF!+#REF!+#REF!+#REF!+#REF!+#REF!+#REF!</f>
        <v>#REF!</v>
      </c>
      <c r="V360" s="499"/>
      <c r="W360" s="317"/>
      <c r="X360" s="317"/>
      <c r="Y360" s="317"/>
      <c r="Z360" s="317"/>
      <c r="AA360" s="1594"/>
      <c r="AB360" s="1594"/>
      <c r="AC360" s="317"/>
      <c r="AD360" s="1594"/>
      <c r="AE360" s="1594"/>
      <c r="AF360" s="1594"/>
      <c r="AG360" s="1594"/>
      <c r="AH360" s="1594"/>
      <c r="AI360" s="1594"/>
      <c r="AJ360" s="1594"/>
      <c r="AK360" s="1594"/>
      <c r="AL360" s="1594"/>
      <c r="AM360" s="534"/>
    </row>
    <row r="361" spans="1:39">
      <c r="A361" s="1584"/>
      <c r="B361" s="1595" t="s">
        <v>46</v>
      </c>
      <c r="C361" s="1595"/>
      <c r="D361" s="331">
        <f>'GENERAL EXP NOTA 35'!F46</f>
        <v>0</v>
      </c>
      <c r="E361" s="1595"/>
      <c r="F361" s="331">
        <f>'GENERAL EXP NOTA 35'!E46</f>
        <v>37668.94</v>
      </c>
      <c r="G361" s="1595"/>
      <c r="H361" s="241"/>
      <c r="I361" s="1595"/>
      <c r="J361" s="1595"/>
      <c r="K361" s="1595"/>
      <c r="L361" s="1595"/>
      <c r="M361" s="1595"/>
      <c r="N361" s="1595"/>
      <c r="O361" s="1595"/>
      <c r="P361" s="1595"/>
      <c r="Q361" s="317" t="e">
        <f>#REF!</f>
        <v>#REF!</v>
      </c>
      <c r="R361" s="1594"/>
      <c r="S361" s="1594"/>
      <c r="T361" s="1594"/>
      <c r="U361" s="621" t="e">
        <f>#REF!</f>
        <v>#REF!</v>
      </c>
      <c r="V361" s="499"/>
      <c r="W361" s="317"/>
      <c r="X361" s="317"/>
      <c r="Y361" s="317"/>
      <c r="Z361" s="317"/>
      <c r="AA361" s="1594"/>
      <c r="AB361" s="1594"/>
      <c r="AC361" s="317"/>
      <c r="AD361" s="1594"/>
      <c r="AE361" s="1594"/>
      <c r="AF361" s="1594"/>
      <c r="AG361" s="1594"/>
      <c r="AH361" s="1594"/>
      <c r="AI361" s="1594"/>
      <c r="AJ361" s="1594"/>
      <c r="AK361" s="1594"/>
      <c r="AL361" s="1594"/>
      <c r="AM361" s="534"/>
    </row>
    <row r="362" spans="1:39">
      <c r="A362" s="1584"/>
      <c r="B362" s="1595" t="s">
        <v>420</v>
      </c>
      <c r="C362" s="1595"/>
      <c r="D362" s="331">
        <f>'GENERAL EXP NOTA 35'!F47+'GENERAL EXP NOTA 35'!F48+'GENERAL EXP NOTA 35'!F49</f>
        <v>222089.02000000002</v>
      </c>
      <c r="E362" s="1595"/>
      <c r="F362" s="331">
        <f>'GENERAL EXP NOTA 35'!E47+'GENERAL EXP NOTA 35'!E48+'GENERAL EXP NOTA 35'!E49</f>
        <v>484335.81</v>
      </c>
      <c r="G362" s="1595"/>
      <c r="H362" s="241"/>
      <c r="I362" s="1595"/>
      <c r="J362" s="1595"/>
      <c r="K362" s="1595"/>
      <c r="L362" s="1595"/>
      <c r="M362" s="1595"/>
      <c r="N362" s="1595"/>
      <c r="O362" s="1595"/>
      <c r="P362" s="1595"/>
      <c r="Q362" s="317" t="e">
        <f>#REF!+#REF!+#REF!</f>
        <v>#REF!</v>
      </c>
      <c r="R362" s="1594"/>
      <c r="S362" s="1594"/>
      <c r="T362" s="1594"/>
      <c r="U362" s="621" t="e">
        <f>#REF!+#REF!+#REF!</f>
        <v>#REF!</v>
      </c>
      <c r="V362" s="499"/>
      <c r="W362" s="317"/>
      <c r="X362" s="317"/>
      <c r="Y362" s="317"/>
      <c r="Z362" s="317"/>
      <c r="AA362" s="1594"/>
      <c r="AB362" s="1594"/>
      <c r="AC362" s="317"/>
      <c r="AD362" s="1594"/>
      <c r="AE362" s="1594"/>
      <c r="AF362" s="1594"/>
      <c r="AG362" s="1594"/>
      <c r="AH362" s="1594"/>
      <c r="AI362" s="1594"/>
      <c r="AJ362" s="1594"/>
      <c r="AK362" s="1594"/>
      <c r="AL362" s="1594"/>
      <c r="AM362" s="534"/>
    </row>
    <row r="363" spans="1:39">
      <c r="A363" s="1584"/>
      <c r="B363" s="1595" t="s">
        <v>1479</v>
      </c>
      <c r="C363" s="1595"/>
      <c r="D363" s="331"/>
      <c r="E363" s="1595"/>
      <c r="F363" s="331"/>
      <c r="G363" s="1595"/>
      <c r="H363" s="241"/>
      <c r="I363" s="1595"/>
      <c r="J363" s="1595"/>
      <c r="K363" s="1595"/>
      <c r="L363" s="1595"/>
      <c r="M363" s="1595"/>
      <c r="N363" s="1595"/>
      <c r="O363" s="1595"/>
      <c r="P363" s="1595"/>
      <c r="Q363" s="317" t="e">
        <f>#REF!</f>
        <v>#REF!</v>
      </c>
      <c r="R363" s="1594"/>
      <c r="S363" s="1594"/>
      <c r="T363" s="1594"/>
      <c r="U363" s="621"/>
      <c r="V363" s="499"/>
      <c r="W363" s="317"/>
      <c r="X363" s="317"/>
      <c r="Y363" s="317"/>
      <c r="Z363" s="317"/>
      <c r="AA363" s="1594"/>
      <c r="AB363" s="1594"/>
      <c r="AC363" s="317"/>
      <c r="AD363" s="1594"/>
      <c r="AE363" s="1594"/>
      <c r="AF363" s="1594"/>
      <c r="AG363" s="1594"/>
      <c r="AH363" s="1594"/>
      <c r="AI363" s="1594"/>
      <c r="AJ363" s="1594"/>
      <c r="AK363" s="1594"/>
      <c r="AL363" s="1594"/>
      <c r="AM363" s="534"/>
    </row>
    <row r="364" spans="1:39">
      <c r="A364" s="1584"/>
      <c r="B364" s="1595" t="s">
        <v>422</v>
      </c>
      <c r="C364" s="1595"/>
      <c r="D364" s="331">
        <f>'GENERAL EXP NOTA 35'!F50+'GENERAL EXP NOTA 35'!F51+'GENERAL EXP NOTA 35'!F52+'GENERAL EXP NOTA 35'!F53+'GENERAL EXP NOTA 35'!F54+'GENERAL EXP NOTA 35'!F55</f>
        <v>702461.72</v>
      </c>
      <c r="E364" s="1595"/>
      <c r="F364" s="331">
        <f>'GENERAL EXP NOTA 35'!E50+'GENERAL EXP NOTA 35'!E51+'GENERAL EXP NOTA 35'!E52+'GENERAL EXP NOTA 35'!E53+'GENERAL EXP NOTA 35'!E54+'GENERAL EXP NOTA 35'!E55</f>
        <v>541046.23</v>
      </c>
      <c r="G364" s="1595"/>
      <c r="H364" s="241"/>
      <c r="I364" s="1595"/>
      <c r="J364" s="1595"/>
      <c r="K364" s="1595"/>
      <c r="L364" s="1595"/>
      <c r="M364" s="1595"/>
      <c r="N364" s="1595"/>
      <c r="O364" s="1595"/>
      <c r="P364" s="1595"/>
      <c r="Q364" s="317" t="e">
        <f>#REF!+#REF!+#REF!+#REF!+#REF!+#REF!</f>
        <v>#REF!</v>
      </c>
      <c r="R364" s="1594"/>
      <c r="S364" s="1594"/>
      <c r="T364" s="1594"/>
      <c r="U364" s="621" t="e">
        <f>#REF!+#REF!+#REF!+#REF!+#REF!+#REF!</f>
        <v>#REF!</v>
      </c>
      <c r="V364" s="499"/>
      <c r="W364" s="317"/>
      <c r="X364" s="317"/>
      <c r="Y364" s="317"/>
      <c r="Z364" s="317"/>
      <c r="AA364" s="1594"/>
      <c r="AB364" s="1594"/>
      <c r="AC364" s="317"/>
      <c r="AD364" s="1594"/>
      <c r="AE364" s="1594"/>
      <c r="AF364" s="1594"/>
      <c r="AG364" s="1594"/>
      <c r="AH364" s="1594"/>
      <c r="AI364" s="1594"/>
      <c r="AJ364" s="1594"/>
      <c r="AK364" s="1594"/>
      <c r="AL364" s="1594"/>
      <c r="AM364" s="534"/>
    </row>
    <row r="365" spans="1:39">
      <c r="A365" s="1584"/>
      <c r="B365" s="1595" t="s">
        <v>1512</v>
      </c>
      <c r="C365" s="1595"/>
      <c r="D365" s="331">
        <f>'GENERAL EXP NOTA 35'!F56</f>
        <v>13703.24</v>
      </c>
      <c r="E365" s="1595"/>
      <c r="F365" s="331">
        <f>'GENERAL EXP NOTA 35'!E56</f>
        <v>28317.360000000001</v>
      </c>
      <c r="G365" s="1595"/>
      <c r="H365" s="241"/>
      <c r="I365" s="1595"/>
      <c r="J365" s="1595"/>
      <c r="K365" s="1595"/>
      <c r="L365" s="1595"/>
      <c r="M365" s="1595"/>
      <c r="N365" s="1595"/>
      <c r="O365" s="1595"/>
      <c r="P365" s="1595"/>
      <c r="Q365" s="317" t="e">
        <f>#REF!</f>
        <v>#REF!</v>
      </c>
      <c r="R365" s="1594"/>
      <c r="S365" s="1594"/>
      <c r="T365" s="1594"/>
      <c r="U365" s="621">
        <v>8419</v>
      </c>
      <c r="V365" s="499"/>
      <c r="W365" s="317"/>
      <c r="X365" s="317"/>
      <c r="Y365" s="317"/>
      <c r="Z365" s="317"/>
      <c r="AA365" s="1594"/>
      <c r="AB365" s="1594"/>
      <c r="AC365" s="317"/>
      <c r="AD365" s="1594"/>
      <c r="AE365" s="1594"/>
      <c r="AF365" s="1594"/>
      <c r="AG365" s="1594"/>
      <c r="AH365" s="1594"/>
      <c r="AI365" s="1594"/>
      <c r="AJ365" s="1594"/>
      <c r="AK365" s="1594"/>
      <c r="AL365" s="1594"/>
      <c r="AM365" s="534"/>
    </row>
    <row r="366" spans="1:39">
      <c r="A366" s="1584"/>
      <c r="B366" s="1595" t="s">
        <v>1926</v>
      </c>
      <c r="C366" s="1595"/>
      <c r="D366" s="331">
        <f>'GENERAL EXP NOTA 35'!F57</f>
        <v>183944</v>
      </c>
      <c r="E366" s="1595"/>
      <c r="F366" s="331">
        <f>'GENERAL EXP NOTA 35'!E57</f>
        <v>412242.65</v>
      </c>
      <c r="G366" s="1595"/>
      <c r="H366" s="241"/>
      <c r="I366" s="1595"/>
      <c r="J366" s="1595"/>
      <c r="K366" s="1595"/>
      <c r="L366" s="1595"/>
      <c r="M366" s="1595"/>
      <c r="N366" s="1595"/>
      <c r="O366" s="1595"/>
      <c r="P366" s="1595"/>
      <c r="Q366" s="317" t="e">
        <f>#REF!</f>
        <v>#REF!</v>
      </c>
      <c r="R366" s="1594"/>
      <c r="S366" s="1594"/>
      <c r="T366" s="1594"/>
      <c r="U366" s="621" t="e">
        <f>#REF!</f>
        <v>#REF!</v>
      </c>
      <c r="V366" s="499"/>
      <c r="W366" s="317"/>
      <c r="X366" s="317"/>
      <c r="Y366" s="317"/>
      <c r="Z366" s="317"/>
      <c r="AA366" s="1594"/>
      <c r="AB366" s="1594"/>
      <c r="AC366" s="317"/>
      <c r="AD366" s="1594"/>
      <c r="AE366" s="1594"/>
      <c r="AF366" s="1594"/>
      <c r="AG366" s="1594"/>
      <c r="AH366" s="1594"/>
      <c r="AI366" s="1594"/>
      <c r="AJ366" s="1594"/>
      <c r="AK366" s="1594"/>
      <c r="AL366" s="1594"/>
      <c r="AM366" s="534"/>
    </row>
    <row r="367" spans="1:39">
      <c r="A367" s="1584"/>
      <c r="B367" s="1595" t="s">
        <v>1927</v>
      </c>
      <c r="C367" s="1595"/>
      <c r="D367" s="331">
        <f>'GENERAL EXP NOTA 35'!F58</f>
        <v>0</v>
      </c>
      <c r="E367" s="1595"/>
      <c r="F367" s="331">
        <f>'GENERAL EXP NOTA 35'!E58</f>
        <v>0</v>
      </c>
      <c r="G367" s="1595"/>
      <c r="H367" s="241"/>
      <c r="I367" s="1595"/>
      <c r="J367" s="1595"/>
      <c r="K367" s="1595"/>
      <c r="L367" s="1595"/>
      <c r="M367" s="1595"/>
      <c r="N367" s="1595"/>
      <c r="O367" s="1595"/>
      <c r="P367" s="1595"/>
      <c r="Q367" s="317" t="e">
        <f>#REF!</f>
        <v>#REF!</v>
      </c>
      <c r="R367" s="1594"/>
      <c r="S367" s="1594"/>
      <c r="T367" s="1594"/>
      <c r="U367" s="621" t="e">
        <f>#REF!</f>
        <v>#REF!</v>
      </c>
      <c r="V367" s="499"/>
      <c r="W367" s="317"/>
      <c r="X367" s="317"/>
      <c r="Y367" s="317"/>
      <c r="Z367" s="317"/>
      <c r="AA367" s="1594"/>
      <c r="AB367" s="1594"/>
      <c r="AC367" s="317"/>
      <c r="AD367" s="1594"/>
      <c r="AE367" s="1594"/>
      <c r="AF367" s="1594"/>
      <c r="AG367" s="1594"/>
      <c r="AH367" s="1594"/>
      <c r="AI367" s="1594"/>
      <c r="AJ367" s="1594"/>
      <c r="AK367" s="1594"/>
      <c r="AL367" s="1594"/>
      <c r="AM367" s="534"/>
    </row>
    <row r="368" spans="1:39">
      <c r="A368" s="1584"/>
      <c r="B368" s="1595" t="s">
        <v>848</v>
      </c>
      <c r="C368" s="1595"/>
      <c r="D368" s="331">
        <f>'GENERAL EXP NOTA 35'!F59</f>
        <v>0</v>
      </c>
      <c r="E368" s="1595"/>
      <c r="F368" s="331">
        <f>'GENERAL EXP NOTA 35'!E59</f>
        <v>750</v>
      </c>
      <c r="G368" s="1595"/>
      <c r="H368" s="241"/>
      <c r="I368" s="1595"/>
      <c r="J368" s="1595"/>
      <c r="K368" s="1595"/>
      <c r="L368" s="1595"/>
      <c r="M368" s="1595"/>
      <c r="N368" s="1595"/>
      <c r="O368" s="1595"/>
      <c r="P368" s="1595"/>
      <c r="Q368" s="317"/>
      <c r="R368" s="1594"/>
      <c r="S368" s="1594"/>
      <c r="T368" s="1594"/>
      <c r="U368" s="621" t="e">
        <f>#REF!</f>
        <v>#REF!</v>
      </c>
      <c r="V368" s="499"/>
      <c r="W368" s="317"/>
      <c r="X368" s="317"/>
      <c r="Y368" s="317"/>
      <c r="Z368" s="317"/>
      <c r="AA368" s="1594"/>
      <c r="AB368" s="1594"/>
      <c r="AC368" s="317"/>
      <c r="AD368" s="1594"/>
      <c r="AE368" s="1594"/>
      <c r="AF368" s="1594"/>
      <c r="AG368" s="1594"/>
      <c r="AH368" s="1594"/>
      <c r="AI368" s="1594"/>
      <c r="AJ368" s="1594"/>
      <c r="AK368" s="1594"/>
      <c r="AL368" s="1594"/>
      <c r="AM368" s="534"/>
    </row>
    <row r="369" spans="1:39">
      <c r="A369" s="1584"/>
      <c r="B369" s="1595" t="s">
        <v>333</v>
      </c>
      <c r="C369" s="1595"/>
      <c r="D369" s="331">
        <f>'GENERAL EXP NOTA 35'!F60</f>
        <v>0</v>
      </c>
      <c r="E369" s="1595"/>
      <c r="F369" s="331">
        <f>'GENERAL EXP NOTA 35'!E60</f>
        <v>27544.85</v>
      </c>
      <c r="G369" s="1595"/>
      <c r="H369" s="241"/>
      <c r="I369" s="1595"/>
      <c r="J369" s="1595"/>
      <c r="K369" s="1595"/>
      <c r="L369" s="1595"/>
      <c r="M369" s="1595"/>
      <c r="N369" s="1595"/>
      <c r="O369" s="1595"/>
      <c r="P369" s="1595"/>
      <c r="Q369" s="317" t="e">
        <f>#REF!</f>
        <v>#REF!</v>
      </c>
      <c r="R369" s="1594"/>
      <c r="S369" s="1594"/>
      <c r="T369" s="1594"/>
      <c r="U369" s="621" t="e">
        <f>#REF!</f>
        <v>#REF!</v>
      </c>
      <c r="V369" s="499"/>
      <c r="W369" s="317"/>
      <c r="X369" s="317"/>
      <c r="Y369" s="317"/>
      <c r="Z369" s="317"/>
      <c r="AA369" s="1594"/>
      <c r="AB369" s="1594"/>
      <c r="AC369" s="317"/>
      <c r="AD369" s="1594"/>
      <c r="AE369" s="1594"/>
      <c r="AF369" s="1594"/>
      <c r="AG369" s="1594"/>
      <c r="AH369" s="1594"/>
      <c r="AI369" s="1594"/>
      <c r="AJ369" s="1594"/>
      <c r="AK369" s="1594"/>
      <c r="AL369" s="1594"/>
      <c r="AM369" s="534"/>
    </row>
    <row r="370" spans="1:39">
      <c r="A370" s="1584"/>
      <c r="B370" s="1595" t="s">
        <v>199</v>
      </c>
      <c r="C370" s="1595"/>
      <c r="D370" s="331">
        <f>'GENERAL EXP NOTA 35'!F61+'GENERAL EXP NOTA 35'!F62</f>
        <v>1834865.71</v>
      </c>
      <c r="E370" s="1595"/>
      <c r="F370" s="331">
        <f>'GENERAL EXP NOTA 35'!E61+'GENERAL EXP NOTA 35'!E62</f>
        <v>1599037.52</v>
      </c>
      <c r="G370" s="1595"/>
      <c r="H370" s="241"/>
      <c r="I370" s="1595"/>
      <c r="J370" s="1595"/>
      <c r="K370" s="1595"/>
      <c r="L370" s="1595"/>
      <c r="M370" s="1595"/>
      <c r="N370" s="1595"/>
      <c r="O370" s="1595"/>
      <c r="P370" s="1595"/>
      <c r="Q370" s="317" t="e">
        <f>#REF!+#REF!</f>
        <v>#REF!</v>
      </c>
      <c r="R370" s="1594"/>
      <c r="S370" s="1594"/>
      <c r="T370" s="1594"/>
      <c r="U370" s="621" t="e">
        <f>#REF!+#REF!</f>
        <v>#REF!</v>
      </c>
      <c r="V370" s="499"/>
      <c r="W370" s="317"/>
      <c r="X370" s="317"/>
      <c r="Y370" s="317"/>
      <c r="Z370" s="317"/>
      <c r="AA370" s="1594"/>
      <c r="AB370" s="1594"/>
      <c r="AC370" s="317"/>
      <c r="AD370" s="1594"/>
      <c r="AE370" s="1594"/>
      <c r="AF370" s="1594"/>
      <c r="AG370" s="1594"/>
      <c r="AH370" s="1594"/>
      <c r="AI370" s="1594"/>
      <c r="AJ370" s="1594"/>
      <c r="AK370" s="1594"/>
      <c r="AL370" s="1594"/>
      <c r="AM370" s="534"/>
    </row>
    <row r="371" spans="1:39">
      <c r="A371" s="1584"/>
      <c r="B371" s="1595" t="s">
        <v>1303</v>
      </c>
      <c r="C371" s="1595"/>
      <c r="D371" s="331">
        <f>'GENERAL EXP NOTA 35'!G76</f>
        <v>325019.85999999993</v>
      </c>
      <c r="E371" s="1595"/>
      <c r="F371" s="331">
        <f>'GENERAL EXP NOTA 35'!E63+'GENERAL EXP NOTA 35'!E64+'GENERAL EXP NOTA 35'!E66+'GENERAL EXP NOTA 35'!E71+'GENERAL EXP NOTA 35'!E72+'GENERAL EXP NOTA 35'!E73+'GENERAL EXP NOTA 35'!E76</f>
        <v>281873.98</v>
      </c>
      <c r="G371" s="1595"/>
      <c r="H371" s="241"/>
      <c r="I371" s="1595"/>
      <c r="J371" s="1595"/>
      <c r="K371" s="1595"/>
      <c r="L371" s="1595"/>
      <c r="M371" s="1595"/>
      <c r="N371" s="1595"/>
      <c r="O371" s="1595"/>
      <c r="P371" s="1595"/>
      <c r="Q371" s="317" t="e">
        <f>#REF!+#REF!</f>
        <v>#REF!</v>
      </c>
      <c r="R371" s="1594"/>
      <c r="S371" s="1594"/>
      <c r="T371" s="1594"/>
      <c r="U371" s="621" t="e">
        <f>#REF!+#REF!+#REF!+#REF!+#REF!+#REF!+#REF!+#REF!+#REF!+#REF!+#REF!+#REF!+#REF!+#REF!+#REF!+#REF!</f>
        <v>#REF!</v>
      </c>
      <c r="V371" s="499"/>
      <c r="W371" s="317"/>
      <c r="X371" s="317"/>
      <c r="Y371" s="317"/>
      <c r="Z371" s="317"/>
      <c r="AA371" s="1594"/>
      <c r="AB371" s="1594"/>
      <c r="AC371" s="317"/>
      <c r="AD371" s="1594"/>
      <c r="AE371" s="1594"/>
      <c r="AF371" s="1594"/>
      <c r="AG371" s="1594"/>
      <c r="AH371" s="1594"/>
      <c r="AI371" s="1594"/>
      <c r="AJ371" s="1594"/>
      <c r="AK371" s="1594"/>
      <c r="AL371" s="1594"/>
      <c r="AM371" s="534"/>
    </row>
    <row r="372" spans="1:39">
      <c r="A372" s="1584"/>
      <c r="B372" s="1595" t="s">
        <v>2433</v>
      </c>
      <c r="C372" s="1595"/>
      <c r="D372" s="331">
        <f>'GENERAL EXP NOTA 35'!F77</f>
        <v>310029.71000000002</v>
      </c>
      <c r="E372" s="1595"/>
      <c r="F372" s="331"/>
      <c r="G372" s="1595"/>
      <c r="H372" s="241"/>
      <c r="I372" s="1595"/>
      <c r="J372" s="1595"/>
      <c r="K372" s="1595"/>
      <c r="L372" s="1595"/>
      <c r="M372" s="1595"/>
      <c r="N372" s="1595"/>
      <c r="O372" s="1595"/>
      <c r="P372" s="1595"/>
      <c r="Q372" s="317"/>
      <c r="R372" s="1594"/>
      <c r="S372" s="1594"/>
      <c r="T372" s="1594"/>
      <c r="U372" s="621"/>
      <c r="V372" s="499"/>
      <c r="W372" s="317"/>
      <c r="X372" s="317"/>
      <c r="Y372" s="317"/>
      <c r="Z372" s="317"/>
      <c r="AA372" s="1594"/>
      <c r="AB372" s="1594"/>
      <c r="AC372" s="317"/>
      <c r="AD372" s="1594"/>
      <c r="AE372" s="1594"/>
      <c r="AF372" s="1594"/>
      <c r="AG372" s="1594"/>
      <c r="AH372" s="1594"/>
      <c r="AI372" s="1594"/>
      <c r="AJ372" s="1594"/>
      <c r="AK372" s="1594"/>
      <c r="AL372" s="1594"/>
      <c r="AM372" s="534"/>
    </row>
    <row r="373" spans="1:39">
      <c r="A373" s="1584"/>
      <c r="B373" s="1595" t="s">
        <v>1928</v>
      </c>
      <c r="C373" s="1595"/>
      <c r="D373" s="331">
        <f>'GENERAL EXP NOTA 35'!F78</f>
        <v>0</v>
      </c>
      <c r="E373" s="1595"/>
      <c r="F373" s="331">
        <f>'GENERAL EXP NOTA 35'!E78</f>
        <v>38090.57</v>
      </c>
      <c r="G373" s="1595"/>
      <c r="H373" s="241"/>
      <c r="I373" s="1595"/>
      <c r="J373" s="1595"/>
      <c r="K373" s="1595"/>
      <c r="L373" s="1595"/>
      <c r="M373" s="1595"/>
      <c r="N373" s="1595"/>
      <c r="O373" s="1595"/>
      <c r="P373" s="1595"/>
      <c r="Q373" s="317" t="e">
        <f>#REF!</f>
        <v>#REF!</v>
      </c>
      <c r="R373" s="1594"/>
      <c r="S373" s="1594"/>
      <c r="T373" s="1594"/>
      <c r="U373" s="621" t="e">
        <f>#REF!</f>
        <v>#REF!</v>
      </c>
      <c r="V373" s="499"/>
      <c r="W373" s="317"/>
      <c r="X373" s="317"/>
      <c r="Y373" s="317"/>
      <c r="Z373" s="317"/>
      <c r="AA373" s="1594"/>
      <c r="AB373" s="1594"/>
      <c r="AC373" s="317"/>
      <c r="AD373" s="1594"/>
      <c r="AE373" s="1594"/>
      <c r="AF373" s="1594"/>
      <c r="AG373" s="1594"/>
      <c r="AH373" s="1594"/>
      <c r="AI373" s="1594"/>
      <c r="AJ373" s="1594"/>
      <c r="AK373" s="1594"/>
      <c r="AL373" s="1594"/>
      <c r="AM373" s="534"/>
    </row>
    <row r="374" spans="1:39">
      <c r="A374" s="1584"/>
      <c r="B374" s="1595" t="s">
        <v>1929</v>
      </c>
      <c r="C374" s="1595"/>
      <c r="D374" s="331">
        <f>'GENERAL EXP NOTA 35'!F80</f>
        <v>0</v>
      </c>
      <c r="E374" s="1595"/>
      <c r="F374" s="331">
        <f>'GENERAL EXP NOTA 35'!E80</f>
        <v>2161.92</v>
      </c>
      <c r="G374" s="1595"/>
      <c r="H374" s="241"/>
      <c r="I374" s="1595"/>
      <c r="J374" s="1595"/>
      <c r="K374" s="1595"/>
      <c r="L374" s="1595"/>
      <c r="M374" s="1595"/>
      <c r="N374" s="1595"/>
      <c r="O374" s="1595"/>
      <c r="P374" s="1595"/>
      <c r="Q374" s="317"/>
      <c r="R374" s="1594"/>
      <c r="S374" s="1594"/>
      <c r="T374" s="1594"/>
      <c r="U374" s="621"/>
      <c r="V374" s="499"/>
      <c r="W374" s="317"/>
      <c r="X374" s="317"/>
      <c r="Y374" s="317"/>
      <c r="Z374" s="317"/>
      <c r="AA374" s="1594"/>
      <c r="AB374" s="1594"/>
      <c r="AC374" s="317"/>
      <c r="AD374" s="1594"/>
      <c r="AE374" s="1594"/>
      <c r="AF374" s="1594"/>
      <c r="AG374" s="1594"/>
      <c r="AH374" s="1594"/>
      <c r="AI374" s="1594"/>
      <c r="AJ374" s="1594"/>
      <c r="AK374" s="1594"/>
      <c r="AL374" s="1594"/>
      <c r="AM374" s="534"/>
    </row>
    <row r="375" spans="1:39">
      <c r="A375" s="1584"/>
      <c r="B375" s="1595" t="s">
        <v>330</v>
      </c>
      <c r="C375" s="1595"/>
      <c r="D375" s="331">
        <f>'GENERAL EXP NOTA 35'!F79</f>
        <v>2780</v>
      </c>
      <c r="E375" s="1595"/>
      <c r="F375" s="331"/>
      <c r="G375" s="1595"/>
      <c r="H375" s="241"/>
      <c r="I375" s="1595"/>
      <c r="J375" s="1595"/>
      <c r="K375" s="1595"/>
      <c r="L375" s="1595"/>
      <c r="M375" s="1595"/>
      <c r="N375" s="1595"/>
      <c r="O375" s="1595"/>
      <c r="P375" s="1595"/>
      <c r="Q375" s="317"/>
      <c r="R375" s="1594"/>
      <c r="S375" s="1594"/>
      <c r="T375" s="1594"/>
      <c r="U375" s="621"/>
      <c r="V375" s="499"/>
      <c r="W375" s="317"/>
      <c r="X375" s="317"/>
      <c r="Y375" s="317"/>
      <c r="Z375" s="317"/>
      <c r="AA375" s="1594"/>
      <c r="AB375" s="1594"/>
      <c r="AC375" s="317"/>
      <c r="AD375" s="1594"/>
      <c r="AE375" s="1594"/>
      <c r="AF375" s="1594"/>
      <c r="AG375" s="1594"/>
      <c r="AH375" s="1594"/>
      <c r="AI375" s="1594"/>
      <c r="AJ375" s="1594"/>
      <c r="AK375" s="1594"/>
      <c r="AL375" s="1594"/>
      <c r="AM375" s="534"/>
    </row>
    <row r="376" spans="1:39">
      <c r="A376" s="1584"/>
      <c r="B376" s="1595" t="s">
        <v>1515</v>
      </c>
      <c r="C376" s="1595"/>
      <c r="D376" s="331">
        <f>'GENERAL EXP NOTA 35'!F81</f>
        <v>40310.559999999998</v>
      </c>
      <c r="E376" s="1595"/>
      <c r="F376" s="331">
        <f>'GENERAL EXP NOTA 35'!E81</f>
        <v>140540.84</v>
      </c>
      <c r="G376" s="1595"/>
      <c r="H376" s="241"/>
      <c r="I376" s="1595"/>
      <c r="J376" s="1595"/>
      <c r="K376" s="1595"/>
      <c r="L376" s="1595"/>
      <c r="M376" s="1595"/>
      <c r="N376" s="1595"/>
      <c r="O376" s="1595"/>
      <c r="P376" s="1595"/>
      <c r="Q376" s="317" t="e">
        <f>#REF!</f>
        <v>#REF!</v>
      </c>
      <c r="R376" s="1594"/>
      <c r="S376" s="1594"/>
      <c r="T376" s="1594"/>
      <c r="U376" s="621" t="e">
        <f>#REF!</f>
        <v>#REF!</v>
      </c>
      <c r="V376" s="499"/>
      <c r="W376" s="317"/>
      <c r="X376" s="317"/>
      <c r="Y376" s="317"/>
      <c r="Z376" s="317"/>
      <c r="AA376" s="1594"/>
      <c r="AB376" s="1594"/>
      <c r="AC376" s="317"/>
      <c r="AD376" s="1594"/>
      <c r="AE376" s="1594"/>
      <c r="AF376" s="1594"/>
      <c r="AG376" s="1594"/>
      <c r="AH376" s="1594"/>
      <c r="AI376" s="1594"/>
      <c r="AJ376" s="1594"/>
      <c r="AK376" s="1594"/>
      <c r="AL376" s="1594"/>
      <c r="AM376" s="534"/>
    </row>
    <row r="377" spans="1:39">
      <c r="A377" s="1584"/>
      <c r="B377" s="1595" t="s">
        <v>925</v>
      </c>
      <c r="C377" s="1595"/>
      <c r="D377" s="331">
        <f>'GENERAL EXP NOTA 35'!F82+'GENERAL EXP NOTA 35'!F83+'GENERAL EXP NOTA 35'!F84+'GENERAL EXP NOTA 35'!F85+'GENERAL EXP NOTA 35'!F86+'GENERAL EXP NOTA 35'!F87</f>
        <v>304681.88</v>
      </c>
      <c r="E377" s="1595"/>
      <c r="F377" s="331">
        <f>'GENERAL EXP NOTA 35'!E82+'GENERAL EXP NOTA 35'!E83+'GENERAL EXP NOTA 35'!E84+'GENERAL EXP NOTA 35'!E85+'GENERAL EXP NOTA 35'!E86+'GENERAL EXP NOTA 35'!E87</f>
        <v>130022.12</v>
      </c>
      <c r="G377" s="1595"/>
      <c r="H377" s="241"/>
      <c r="I377" s="1595"/>
      <c r="J377" s="1595"/>
      <c r="K377" s="1595"/>
      <c r="L377" s="1595"/>
      <c r="M377" s="1595"/>
      <c r="N377" s="1595"/>
      <c r="O377" s="1595"/>
      <c r="P377" s="1595"/>
      <c r="Q377" s="317" t="e">
        <f>#REF!+#REF!+#REF!+#REF!+#REF!+#REF!+#REF!+#REF!</f>
        <v>#REF!</v>
      </c>
      <c r="R377" s="1594"/>
      <c r="S377" s="1594"/>
      <c r="T377" s="1594"/>
      <c r="U377" s="621" t="e">
        <f>#REF!+#REF!+#REF!+#REF!+#REF!+#REF!+#REF!</f>
        <v>#REF!</v>
      </c>
      <c r="V377" s="499"/>
      <c r="W377" s="317"/>
      <c r="X377" s="317"/>
      <c r="Y377" s="317"/>
      <c r="Z377" s="317"/>
      <c r="AA377" s="1594"/>
      <c r="AB377" s="1594"/>
      <c r="AC377" s="317"/>
      <c r="AD377" s="1594"/>
      <c r="AE377" s="1594"/>
      <c r="AF377" s="1594"/>
      <c r="AG377" s="1594"/>
      <c r="AH377" s="1594"/>
      <c r="AI377" s="1594"/>
      <c r="AJ377" s="1594"/>
      <c r="AK377" s="1594"/>
      <c r="AL377" s="1594"/>
      <c r="AM377" s="534"/>
    </row>
    <row r="378" spans="1:39">
      <c r="A378" s="1584"/>
      <c r="B378" s="1595" t="s">
        <v>1930</v>
      </c>
      <c r="C378" s="1595"/>
      <c r="D378" s="331">
        <f>'GENERAL EXP NOTA 35'!F88</f>
        <v>17081</v>
      </c>
      <c r="E378" s="1595"/>
      <c r="F378" s="331">
        <f>'GENERAL EXP NOTA 35'!E88</f>
        <v>43762.52</v>
      </c>
      <c r="G378" s="1595"/>
      <c r="H378" s="241"/>
      <c r="I378" s="1595"/>
      <c r="J378" s="1595"/>
      <c r="K378" s="1595"/>
      <c r="L378" s="1595"/>
      <c r="M378" s="1595"/>
      <c r="N378" s="1595"/>
      <c r="O378" s="1595"/>
      <c r="P378" s="1595"/>
      <c r="Q378" s="317"/>
      <c r="R378" s="1594"/>
      <c r="S378" s="1594"/>
      <c r="T378" s="1594"/>
      <c r="U378" s="621"/>
      <c r="V378" s="499"/>
      <c r="W378" s="317"/>
      <c r="X378" s="317"/>
      <c r="Y378" s="317"/>
      <c r="Z378" s="317"/>
      <c r="AA378" s="1594"/>
      <c r="AB378" s="1594"/>
      <c r="AC378" s="317"/>
      <c r="AD378" s="1594"/>
      <c r="AE378" s="1594"/>
      <c r="AF378" s="1594"/>
      <c r="AG378" s="1594"/>
      <c r="AH378" s="1594"/>
      <c r="AI378" s="1594"/>
      <c r="AJ378" s="1594"/>
      <c r="AK378" s="1594"/>
      <c r="AL378" s="1594"/>
      <c r="AM378" s="534"/>
    </row>
    <row r="379" spans="1:39">
      <c r="A379" s="1584"/>
      <c r="B379" s="1595" t="s">
        <v>1931</v>
      </c>
      <c r="C379" s="1595"/>
      <c r="D379" s="331">
        <f>'GENERAL EXP NOTA 35'!F89+'GENERAL EXP NOTA 35'!F90</f>
        <v>448131.77999999997</v>
      </c>
      <c r="E379" s="1595"/>
      <c r="F379" s="331">
        <f>'GENERAL EXP NOTA 35'!E89+'GENERAL EXP NOTA 35'!E90</f>
        <v>278903.58999999997</v>
      </c>
      <c r="G379" s="1595"/>
      <c r="H379" s="241"/>
      <c r="I379" s="1595"/>
      <c r="J379" s="1595"/>
      <c r="K379" s="1595"/>
      <c r="L379" s="1595"/>
      <c r="M379" s="1595"/>
      <c r="N379" s="1595"/>
      <c r="O379" s="1595"/>
      <c r="P379" s="1595"/>
      <c r="Q379" s="317" t="e">
        <f>#REF!+#REF!</f>
        <v>#REF!</v>
      </c>
      <c r="R379" s="1594"/>
      <c r="S379" s="1594"/>
      <c r="T379" s="1594"/>
      <c r="U379" s="621" t="e">
        <f>#REF!+#REF!+#REF!</f>
        <v>#REF!</v>
      </c>
      <c r="V379" s="499"/>
      <c r="W379" s="317"/>
      <c r="X379" s="317"/>
      <c r="Y379" s="317"/>
      <c r="Z379" s="317"/>
      <c r="AA379" s="1594"/>
      <c r="AB379" s="1594"/>
      <c r="AC379" s="317"/>
      <c r="AD379" s="1594"/>
      <c r="AE379" s="1594"/>
      <c r="AF379" s="1594"/>
      <c r="AG379" s="1594"/>
      <c r="AH379" s="1594"/>
      <c r="AI379" s="1594"/>
      <c r="AJ379" s="1594"/>
      <c r="AK379" s="1594"/>
      <c r="AL379" s="1594"/>
      <c r="AM379" s="534"/>
    </row>
    <row r="380" spans="1:39">
      <c r="A380" s="1584"/>
      <c r="B380" s="1595" t="s">
        <v>1932</v>
      </c>
      <c r="C380" s="1595"/>
      <c r="D380" s="331">
        <f>'GENERAL EXP NOTA 35'!F91</f>
        <v>0</v>
      </c>
      <c r="E380" s="1595"/>
      <c r="F380" s="331">
        <f>'GENERAL EXP NOTA 35'!E91</f>
        <v>597133.14</v>
      </c>
      <c r="G380" s="1595"/>
      <c r="H380" s="241"/>
      <c r="I380" s="1595"/>
      <c r="J380" s="1595"/>
      <c r="K380" s="1595"/>
      <c r="L380" s="1595"/>
      <c r="M380" s="1595"/>
      <c r="N380" s="1595"/>
      <c r="O380" s="1595"/>
      <c r="P380" s="1595"/>
      <c r="Q380" s="317" t="e">
        <f>#REF!</f>
        <v>#REF!</v>
      </c>
      <c r="R380" s="1594"/>
      <c r="S380" s="1594"/>
      <c r="T380" s="1594"/>
      <c r="U380" s="621"/>
      <c r="V380" s="499"/>
      <c r="W380" s="317"/>
      <c r="X380" s="317"/>
      <c r="Y380" s="317"/>
      <c r="Z380" s="317"/>
      <c r="AA380" s="1594"/>
      <c r="AB380" s="1594"/>
      <c r="AC380" s="317"/>
      <c r="AD380" s="1594"/>
      <c r="AE380" s="1594"/>
      <c r="AF380" s="1594"/>
      <c r="AG380" s="1594"/>
      <c r="AH380" s="1594"/>
      <c r="AI380" s="1594"/>
      <c r="AJ380" s="1594"/>
      <c r="AK380" s="1594"/>
      <c r="AL380" s="1594"/>
      <c r="AM380" s="534"/>
    </row>
    <row r="381" spans="1:39">
      <c r="A381" s="1584"/>
      <c r="B381" s="1595" t="s">
        <v>1996</v>
      </c>
      <c r="C381" s="1595"/>
      <c r="D381" s="331">
        <f>'GENERAL EXP NOTA 35'!F92</f>
        <v>17490.7</v>
      </c>
      <c r="E381" s="1595"/>
      <c r="F381" s="331">
        <f>'GENERAL EXP NOTA 35'!E92</f>
        <v>4640.01</v>
      </c>
      <c r="G381" s="1595"/>
      <c r="H381" s="241"/>
      <c r="I381" s="1595"/>
      <c r="J381" s="1595"/>
      <c r="K381" s="1595"/>
      <c r="L381" s="1595"/>
      <c r="M381" s="1595"/>
      <c r="N381" s="1595"/>
      <c r="O381" s="1595"/>
      <c r="P381" s="1595"/>
      <c r="Q381" s="317" t="e">
        <f>#REF!</f>
        <v>#REF!</v>
      </c>
      <c r="R381" s="1594"/>
      <c r="S381" s="1594"/>
      <c r="T381" s="1594"/>
      <c r="U381" s="621" t="e">
        <f>#REF!</f>
        <v>#REF!</v>
      </c>
      <c r="V381" s="499"/>
      <c r="W381" s="317"/>
      <c r="X381" s="317"/>
      <c r="Y381" s="317"/>
      <c r="Z381" s="317"/>
      <c r="AA381" s="1594"/>
      <c r="AB381" s="1594"/>
      <c r="AC381" s="317"/>
      <c r="AD381" s="1594"/>
      <c r="AE381" s="1594"/>
      <c r="AF381" s="1594"/>
      <c r="AG381" s="1594"/>
      <c r="AH381" s="1594"/>
      <c r="AI381" s="1594"/>
      <c r="AJ381" s="1594"/>
      <c r="AK381" s="1594"/>
      <c r="AL381" s="1594"/>
      <c r="AM381" s="534"/>
    </row>
    <row r="382" spans="1:39">
      <c r="A382" s="1584"/>
      <c r="B382" s="1595" t="s">
        <v>430</v>
      </c>
      <c r="C382" s="1595"/>
      <c r="D382" s="331">
        <f>'GENERAL EXP NOTA 35'!G101</f>
        <v>153772.82</v>
      </c>
      <c r="E382" s="1595"/>
      <c r="F382" s="331">
        <f>'GENERAL EXP NOTA 35'!E94+'GENERAL EXP NOTA 35'!E95+'GENERAL EXP NOTA 35'!E97+'GENERAL EXP NOTA 35'!E99+'GENERAL EXP NOTA 35'!E100+'GENERAL EXP NOTA 35'!E101</f>
        <v>106493.04999999999</v>
      </c>
      <c r="G382" s="1595"/>
      <c r="H382" s="241"/>
      <c r="I382" s="1595"/>
      <c r="J382" s="1595"/>
      <c r="K382" s="1595"/>
      <c r="L382" s="1595"/>
      <c r="M382" s="1595"/>
      <c r="N382" s="1595"/>
      <c r="O382" s="1595"/>
      <c r="P382" s="1595"/>
      <c r="Q382" s="317" t="e">
        <f>#REF!+#REF!+#REF!+#REF!+#REF!+#REF!+#REF!+#REF!</f>
        <v>#REF!</v>
      </c>
      <c r="R382" s="1594"/>
      <c r="S382" s="1594"/>
      <c r="T382" s="1594"/>
      <c r="U382" s="621" t="e">
        <f>#REF!+#REF!+#REF!+#REF!+#REF!+#REF!+#REF!+#REF!</f>
        <v>#REF!</v>
      </c>
      <c r="V382" s="499"/>
      <c r="W382" s="317"/>
      <c r="X382" s="317"/>
      <c r="Y382" s="317"/>
      <c r="Z382" s="317"/>
      <c r="AA382" s="1594"/>
      <c r="AB382" s="1594"/>
      <c r="AC382" s="317"/>
      <c r="AD382" s="1594"/>
      <c r="AE382" s="1594"/>
      <c r="AF382" s="1594"/>
      <c r="AG382" s="1594"/>
      <c r="AH382" s="1594"/>
      <c r="AI382" s="1594"/>
      <c r="AJ382" s="1594"/>
      <c r="AK382" s="1594"/>
      <c r="AL382" s="1594"/>
      <c r="AM382" s="534"/>
    </row>
    <row r="383" spans="1:39">
      <c r="A383" s="1584"/>
      <c r="B383" s="1595" t="s">
        <v>2020</v>
      </c>
      <c r="C383" s="1595"/>
      <c r="D383" s="331">
        <f>'GENERAL EXP NOTA 35'!F93</f>
        <v>219.3</v>
      </c>
      <c r="E383" s="1595"/>
      <c r="F383" s="331"/>
      <c r="G383" s="1595"/>
      <c r="H383" s="241"/>
      <c r="I383" s="1595"/>
      <c r="J383" s="1595"/>
      <c r="K383" s="1595"/>
      <c r="L383" s="1595"/>
      <c r="M383" s="1595"/>
      <c r="N383" s="1595"/>
      <c r="O383" s="1595"/>
      <c r="P383" s="1595"/>
      <c r="Q383" s="317" t="e">
        <f>#REF!</f>
        <v>#REF!</v>
      </c>
      <c r="R383" s="1594"/>
      <c r="S383" s="1594"/>
      <c r="T383" s="1594"/>
      <c r="U383" s="621" t="e">
        <f>#REF!</f>
        <v>#REF!</v>
      </c>
      <c r="V383" s="499"/>
      <c r="W383" s="317"/>
      <c r="X383" s="317"/>
      <c r="Y383" s="317"/>
      <c r="Z383" s="317"/>
      <c r="AA383" s="1594"/>
      <c r="AB383" s="1594"/>
      <c r="AC383" s="317"/>
      <c r="AD383" s="1594"/>
      <c r="AE383" s="1594"/>
      <c r="AF383" s="1594"/>
      <c r="AG383" s="1594"/>
      <c r="AH383" s="1594"/>
      <c r="AI383" s="1594"/>
      <c r="AJ383" s="1594"/>
      <c r="AK383" s="1594"/>
      <c r="AL383" s="1594"/>
      <c r="AM383" s="534"/>
    </row>
    <row r="384" spans="1:39">
      <c r="A384" s="1584"/>
      <c r="B384" s="1595" t="s">
        <v>1933</v>
      </c>
      <c r="C384" s="1595"/>
      <c r="D384" s="331">
        <f>'GENERAL EXP NOTA 35'!G117</f>
        <v>528559.9</v>
      </c>
      <c r="E384" s="1595"/>
      <c r="F384" s="331">
        <f>'GENERAL EXP NOTA 35'!E103+'GENERAL EXP NOTA 35'!E104+'GENERAL EXP NOTA 35'!E105+'GENERAL EXP NOTA 35'!E106+'GENERAL EXP NOTA 35'!E107+'GENERAL EXP NOTA 35'!E108+'GENERAL EXP NOTA 35'!E109+'GENERAL EXP NOTA 35'!E110+'GENERAL EXP NOTA 35'!E112+'GENERAL EXP NOTA 35'!E113+'GENERAL EXP NOTA 35'!E114+'GENERAL EXP NOTA 35'!E115+'GENERAL EXP NOTA 35'!E117</f>
        <v>625246.96</v>
      </c>
      <c r="G384" s="1595"/>
      <c r="H384" s="241"/>
      <c r="I384" s="1595"/>
      <c r="J384" s="1595"/>
      <c r="K384" s="1595"/>
      <c r="L384" s="1595"/>
      <c r="M384" s="1595"/>
      <c r="N384" s="1595"/>
      <c r="O384" s="1595"/>
      <c r="P384" s="1595"/>
      <c r="Q384" s="317" t="e">
        <f>#REF!+#REF!+#REF!+#REF!+#REF!+#REF!+#REF!+#REF!+#REF!+#REF!+#REF!+#REF!+#REF!+#REF!+#REF!+#REF!</f>
        <v>#REF!</v>
      </c>
      <c r="R384" s="1594"/>
      <c r="S384" s="1594"/>
      <c r="T384" s="1594"/>
      <c r="U384" s="621" t="e">
        <f>#REF!+#REF!+#REF!+#REF!+#REF!+#REF!+#REF!+#REF!+#REF!+#REF!+#REF!+#REF!+#REF!+#REF!+#REF!+#REF!</f>
        <v>#REF!</v>
      </c>
      <c r="V384" s="499"/>
      <c r="W384" s="317"/>
      <c r="X384" s="317"/>
      <c r="Y384" s="317"/>
      <c r="Z384" s="317"/>
      <c r="AA384" s="1594"/>
      <c r="AB384" s="1594"/>
      <c r="AC384" s="317"/>
      <c r="AD384" s="1594"/>
      <c r="AE384" s="1594"/>
      <c r="AF384" s="1594"/>
      <c r="AG384" s="1594"/>
      <c r="AH384" s="1594"/>
      <c r="AI384" s="1594"/>
      <c r="AJ384" s="1594"/>
      <c r="AK384" s="1594"/>
      <c r="AL384" s="1594"/>
      <c r="AM384" s="534"/>
    </row>
    <row r="385" spans="1:39">
      <c r="A385" s="1584"/>
      <c r="B385" s="1595" t="s">
        <v>1934</v>
      </c>
      <c r="C385" s="1595"/>
      <c r="D385" s="331">
        <f>'GENERAL EXP NOTA 35'!F118</f>
        <v>117515.5</v>
      </c>
      <c r="E385" s="1595"/>
      <c r="F385" s="331">
        <f>'GENERAL EXP NOTA 35'!E118</f>
        <v>376950.47</v>
      </c>
      <c r="G385" s="1595"/>
      <c r="H385" s="241"/>
      <c r="I385" s="1595"/>
      <c r="J385" s="1595"/>
      <c r="K385" s="1595"/>
      <c r="L385" s="1595"/>
      <c r="M385" s="1595"/>
      <c r="N385" s="1595"/>
      <c r="O385" s="1595"/>
      <c r="P385" s="1595"/>
      <c r="Q385" s="317" t="e">
        <f>#REF!</f>
        <v>#REF!</v>
      </c>
      <c r="R385" s="1594"/>
      <c r="S385" s="1594"/>
      <c r="T385" s="1594"/>
      <c r="U385" s="621"/>
      <c r="V385" s="499"/>
      <c r="W385" s="317"/>
      <c r="X385" s="317"/>
      <c r="Y385" s="317"/>
      <c r="Z385" s="317"/>
      <c r="AA385" s="1594"/>
      <c r="AB385" s="1594"/>
      <c r="AC385" s="317"/>
      <c r="AD385" s="1594"/>
      <c r="AE385" s="1594"/>
      <c r="AF385" s="1594"/>
      <c r="AG385" s="1594"/>
      <c r="AH385" s="1594"/>
      <c r="AI385" s="1594"/>
      <c r="AJ385" s="1594"/>
      <c r="AK385" s="1594"/>
      <c r="AL385" s="1594"/>
      <c r="AM385" s="534"/>
    </row>
    <row r="386" spans="1:39">
      <c r="A386" s="1584"/>
      <c r="B386" s="1595" t="s">
        <v>2021</v>
      </c>
      <c r="C386" s="1595"/>
      <c r="D386" s="331"/>
      <c r="E386" s="1595"/>
      <c r="F386" s="331"/>
      <c r="G386" s="1595"/>
      <c r="H386" s="241"/>
      <c r="I386" s="1595"/>
      <c r="J386" s="1595"/>
      <c r="K386" s="1595"/>
      <c r="L386" s="1595"/>
      <c r="M386" s="1595"/>
      <c r="N386" s="1595"/>
      <c r="O386" s="1595"/>
      <c r="P386" s="1595"/>
      <c r="Q386" s="317" t="e">
        <f>#REF!</f>
        <v>#REF!</v>
      </c>
      <c r="R386" s="1594"/>
      <c r="S386" s="1594"/>
      <c r="T386" s="1594"/>
      <c r="U386" s="621"/>
      <c r="V386" s="499"/>
      <c r="W386" s="317"/>
      <c r="X386" s="317"/>
      <c r="Y386" s="317"/>
      <c r="Z386" s="317"/>
      <c r="AA386" s="1594"/>
      <c r="AB386" s="1594"/>
      <c r="AC386" s="317"/>
      <c r="AD386" s="1594"/>
      <c r="AE386" s="1594"/>
      <c r="AF386" s="1594"/>
      <c r="AG386" s="1594"/>
      <c r="AH386" s="1594"/>
      <c r="AI386" s="1594"/>
      <c r="AJ386" s="1594"/>
      <c r="AK386" s="1594"/>
      <c r="AL386" s="1594"/>
      <c r="AM386" s="534"/>
    </row>
    <row r="387" spans="1:39">
      <c r="A387" s="1584"/>
      <c r="B387" s="1595" t="s">
        <v>1935</v>
      </c>
      <c r="C387" s="1595"/>
      <c r="D387" s="331">
        <f>'GENERAL EXP NOTA 35'!G127</f>
        <v>249407.06000000003</v>
      </c>
      <c r="E387" s="1595"/>
      <c r="F387" s="331">
        <f>'GENERAL EXP NOTA 35'!E119+'GENERAL EXP NOTA 35'!E121+'GENERAL EXP NOTA 35'!E122+'GENERAL EXP NOTA 35'!E123+'GENERAL EXP NOTA 35'!E124+'GENERAL EXP NOTA 35'!E125+'GENERAL EXP NOTA 35'!E126+'GENERAL EXP NOTA 35'!E127</f>
        <v>246544.86</v>
      </c>
      <c r="G387" s="1595"/>
      <c r="H387" s="241"/>
      <c r="I387" s="1595"/>
      <c r="J387" s="1595"/>
      <c r="K387" s="1595"/>
      <c r="L387" s="1595"/>
      <c r="M387" s="1595"/>
      <c r="N387" s="1595"/>
      <c r="O387" s="1595"/>
      <c r="P387" s="1595"/>
      <c r="Q387" s="317" t="e">
        <f>#REF!+#REF!+#REF!+#REF!+#REF!</f>
        <v>#REF!</v>
      </c>
      <c r="R387" s="1594"/>
      <c r="S387" s="1594"/>
      <c r="T387" s="1594"/>
      <c r="U387" s="621" t="e">
        <f>#REF!+#REF!+#REF!+#REF!+#REF!+#REF!+#REF!+#REF!</f>
        <v>#REF!</v>
      </c>
      <c r="V387" s="499"/>
      <c r="W387" s="317"/>
      <c r="X387" s="317"/>
      <c r="Y387" s="317"/>
      <c r="Z387" s="317"/>
      <c r="AA387" s="1594"/>
      <c r="AB387" s="1594"/>
      <c r="AC387" s="317"/>
      <c r="AD387" s="1594"/>
      <c r="AE387" s="1594"/>
      <c r="AF387" s="1594"/>
      <c r="AG387" s="1594"/>
      <c r="AH387" s="1594"/>
      <c r="AI387" s="1594"/>
      <c r="AJ387" s="1594"/>
      <c r="AK387" s="1594"/>
      <c r="AL387" s="1594"/>
      <c r="AM387" s="534"/>
    </row>
    <row r="388" spans="1:39">
      <c r="A388" s="1584"/>
      <c r="B388" s="1595" t="s">
        <v>1304</v>
      </c>
      <c r="C388" s="1595"/>
      <c r="D388" s="331">
        <f>'GENERAL EXP NOTA 35'!F129+'GENERAL EXP NOTA 35'!F130+'GENERAL EXP NOTA 35'!F131</f>
        <v>154533.19999999998</v>
      </c>
      <c r="E388" s="1595"/>
      <c r="F388" s="331">
        <f>'GENERAL EXP NOTA 35'!E129+'GENERAL EXP NOTA 35'!E130+'GENERAL EXP NOTA 35'!E131</f>
        <v>322489.38</v>
      </c>
      <c r="G388" s="1595"/>
      <c r="H388" s="241"/>
      <c r="I388" s="1595"/>
      <c r="J388" s="1595"/>
      <c r="K388" s="1595"/>
      <c r="L388" s="1595"/>
      <c r="M388" s="1595"/>
      <c r="N388" s="1595"/>
      <c r="O388" s="1595"/>
      <c r="P388" s="1595"/>
      <c r="Q388" s="317" t="e">
        <f>#REF!+#REF!+#REF!+#REF!</f>
        <v>#REF!</v>
      </c>
      <c r="R388" s="1594"/>
      <c r="S388" s="1594"/>
      <c r="T388" s="1594"/>
      <c r="U388" s="621" t="e">
        <f>#REF!+#REF!</f>
        <v>#REF!</v>
      </c>
      <c r="V388" s="499"/>
      <c r="W388" s="317"/>
      <c r="X388" s="317"/>
      <c r="Y388" s="317"/>
      <c r="Z388" s="317"/>
      <c r="AA388" s="1594"/>
      <c r="AB388" s="1594"/>
      <c r="AC388" s="317"/>
      <c r="AD388" s="1594"/>
      <c r="AE388" s="1594"/>
      <c r="AF388" s="1594"/>
      <c r="AG388" s="1594"/>
      <c r="AH388" s="1594"/>
      <c r="AI388" s="1594"/>
      <c r="AJ388" s="1594"/>
      <c r="AK388" s="1594"/>
      <c r="AL388" s="1594"/>
      <c r="AM388" s="534"/>
    </row>
    <row r="389" spans="1:39">
      <c r="A389" s="1584"/>
      <c r="B389" s="1595" t="s">
        <v>1298</v>
      </c>
      <c r="C389" s="1595"/>
      <c r="D389" s="331">
        <f>'GENERAL EXP NOTA 35'!F132</f>
        <v>338907.05</v>
      </c>
      <c r="E389" s="1595"/>
      <c r="F389" s="331">
        <f>'GENERAL EXP NOTA 35'!E132</f>
        <v>261424.98</v>
      </c>
      <c r="G389" s="1595"/>
      <c r="H389" s="241"/>
      <c r="I389" s="1595"/>
      <c r="J389" s="1595"/>
      <c r="K389" s="1595"/>
      <c r="L389" s="1595"/>
      <c r="M389" s="1595"/>
      <c r="N389" s="1595"/>
      <c r="O389" s="1595"/>
      <c r="P389" s="1595"/>
      <c r="Q389" s="317" t="e">
        <f>#REF!</f>
        <v>#REF!</v>
      </c>
      <c r="R389" s="1594"/>
      <c r="S389" s="1594"/>
      <c r="T389" s="1594"/>
      <c r="U389" s="621" t="e">
        <f>#REF!</f>
        <v>#REF!</v>
      </c>
      <c r="V389" s="499"/>
      <c r="W389" s="317"/>
      <c r="X389" s="317"/>
      <c r="Y389" s="317"/>
      <c r="Z389" s="317"/>
      <c r="AA389" s="1594"/>
      <c r="AB389" s="1594"/>
      <c r="AC389" s="317"/>
      <c r="AD389" s="1594"/>
      <c r="AE389" s="1594"/>
      <c r="AF389" s="1594"/>
      <c r="AG389" s="1594"/>
      <c r="AH389" s="1594"/>
      <c r="AI389" s="1594"/>
      <c r="AJ389" s="1594"/>
      <c r="AK389" s="1594"/>
      <c r="AL389" s="1594"/>
      <c r="AM389" s="534"/>
    </row>
    <row r="390" spans="1:39">
      <c r="A390" s="1584"/>
      <c r="B390" s="1595" t="s">
        <v>1936</v>
      </c>
      <c r="C390" s="1595"/>
      <c r="D390" s="331">
        <f>'GENERAL EXP NOTA 35'!F133</f>
        <v>0</v>
      </c>
      <c r="E390" s="1595"/>
      <c r="F390" s="331">
        <f>'GENERAL EXP NOTA 35'!E133</f>
        <v>4996.22</v>
      </c>
      <c r="G390" s="1595"/>
      <c r="H390" s="241"/>
      <c r="I390" s="1595"/>
      <c r="J390" s="1595"/>
      <c r="K390" s="1595"/>
      <c r="L390" s="1595"/>
      <c r="M390" s="1595"/>
      <c r="N390" s="1595"/>
      <c r="O390" s="1595"/>
      <c r="P390" s="1595"/>
      <c r="Q390" s="317" t="e">
        <f>#REF!</f>
        <v>#REF!</v>
      </c>
      <c r="R390" s="1594"/>
      <c r="S390" s="1594"/>
      <c r="T390" s="1594"/>
      <c r="U390" s="621"/>
      <c r="V390" s="499"/>
      <c r="W390" s="317"/>
      <c r="X390" s="317"/>
      <c r="Y390" s="317"/>
      <c r="Z390" s="317"/>
      <c r="AA390" s="1594"/>
      <c r="AB390" s="1594"/>
      <c r="AC390" s="317"/>
      <c r="AD390" s="1594"/>
      <c r="AE390" s="1594"/>
      <c r="AF390" s="1594"/>
      <c r="AG390" s="1594"/>
      <c r="AH390" s="1594"/>
      <c r="AI390" s="1594"/>
      <c r="AJ390" s="1594"/>
      <c r="AK390" s="1594"/>
      <c r="AL390" s="1594"/>
      <c r="AM390" s="534"/>
    </row>
    <row r="391" spans="1:39">
      <c r="A391" s="1584"/>
      <c r="B391" s="1595" t="s">
        <v>1937</v>
      </c>
      <c r="C391" s="1595"/>
      <c r="D391" s="331">
        <f>'GENERAL EXP NOTA 35'!G154</f>
        <v>2706213.3200000008</v>
      </c>
      <c r="E391" s="1595"/>
      <c r="F391" s="331">
        <f>'GENERAL EXP NOTA 35'!E134+'GENERAL EXP NOTA 35'!E135+'GENERAL EXP NOTA 35'!E136+'GENERAL EXP NOTA 35'!E137+'GENERAL EXP NOTA 35'!E139+'GENERAL EXP NOTA 35'!E140+'GENERAL EXP NOTA 35'!E141+'GENERAL EXP NOTA 35'!E143+'GENERAL EXP NOTA 35'!E144+'GENERAL EXP NOTA 35'!E145+'GENERAL EXP NOTA 35'!E146+'GENERAL EXP NOTA 35'!E147+'GENERAL EXP NOTA 35'!E148+'GENERAL EXP NOTA 35'!E149+'GENERAL EXP NOTA 35'!E150+'GENERAL EXP NOTA 35'!E151+'GENERAL EXP NOTA 35'!E152+'GENERAL EXP NOTA 35'!E153+'GENERAL EXP NOTA 35'!E154+'GENERAL EXP NOTA 35'!E138</f>
        <v>2730687.65</v>
      </c>
      <c r="G391" s="1595"/>
      <c r="H391" s="241"/>
      <c r="I391" s="1595"/>
      <c r="J391" s="1595"/>
      <c r="K391" s="1595"/>
      <c r="L391" s="1595"/>
      <c r="M391" s="1595"/>
      <c r="N391" s="1595"/>
      <c r="O391" s="1595"/>
      <c r="P391" s="1595"/>
      <c r="Q391" s="317" t="e">
        <f>#REF!+#REF!+#REF!+#REF!+#REF!+#REF!+#REF!+#REF!+#REF!+#REF!+#REF!+#REF!+#REF!+#REF!+#REF!+#REF!+#REF!+#REF!+#REF!</f>
        <v>#REF!</v>
      </c>
      <c r="R391" s="1594"/>
      <c r="S391" s="1594"/>
      <c r="T391" s="1594"/>
      <c r="U391" s="621" t="e">
        <f>#REF!+#REF!+#REF!+#REF!+#REF!+#REF!+#REF!+#REF!+#REF!+#REF!+#REF!+#REF!+#REF!+#REF!+#REF!+#REF!+#REF!+#REF!</f>
        <v>#REF!</v>
      </c>
      <c r="V391" s="499"/>
      <c r="W391" s="317"/>
      <c r="X391" s="317"/>
      <c r="Y391" s="317"/>
      <c r="Z391" s="317"/>
      <c r="AA391" s="1594"/>
      <c r="AB391" s="1594"/>
      <c r="AC391" s="317"/>
      <c r="AD391" s="1594"/>
      <c r="AE391" s="1594"/>
      <c r="AF391" s="1594"/>
      <c r="AG391" s="1594"/>
      <c r="AH391" s="1594"/>
      <c r="AI391" s="1594"/>
      <c r="AJ391" s="1594"/>
      <c r="AK391" s="1594"/>
      <c r="AL391" s="1594"/>
      <c r="AM391" s="534"/>
    </row>
    <row r="392" spans="1:39">
      <c r="A392" s="1584"/>
      <c r="B392" s="1595" t="s">
        <v>43</v>
      </c>
      <c r="C392" s="1595"/>
      <c r="D392" s="331">
        <f>'GENERAL EXP NOTA 35'!G174</f>
        <v>2119002.8700000006</v>
      </c>
      <c r="E392" s="1595"/>
      <c r="F392" s="331">
        <f>'GENERAL EXP NOTA 35'!E155+'GENERAL EXP NOTA 35'!E156+'GENERAL EXP NOTA 35'!E157+'GENERAL EXP NOTA 35'!E158+'GENERAL EXP NOTA 35'!E160+'GENERAL EXP NOTA 35'!E161+'GENERAL EXP NOTA 35'!E164+'GENERAL EXP NOTA 35'!E165+'GENERAL EXP NOTA 35'!E166+'GENERAL EXP NOTA 35'!E169+'GENERAL EXP NOTA 35'!E170+'GENERAL EXP NOTA 35'!E171+'GENERAL EXP NOTA 35'!E172+'GENERAL EXP NOTA 35'!E173+'GENERAL EXP NOTA 35'!E174</f>
        <v>1511658.9100000004</v>
      </c>
      <c r="G392" s="1595"/>
      <c r="H392" s="241"/>
      <c r="I392" s="1595"/>
      <c r="J392" s="1595"/>
      <c r="K392" s="1595"/>
      <c r="L392" s="1595"/>
      <c r="M392" s="1595"/>
      <c r="N392" s="1595"/>
      <c r="O392" s="1595"/>
      <c r="P392" s="1595"/>
      <c r="Q392" s="317" t="e">
        <f>#REF!+#REF!+#REF!+#REF!+#REF!+#REF!+#REF!+#REF!+#REF!+#REF!+#REF!+#REF!+#REF!+#REF!+#REF!+#REF!+#REF!+#REF!+#REF!+#REF!</f>
        <v>#REF!</v>
      </c>
      <c r="R392" s="1594"/>
      <c r="S392" s="1594"/>
      <c r="T392" s="1594"/>
      <c r="U392" s="621" t="e">
        <f>#REF!+#REF!+#REF!+#REF!+#REF!+#REF!+#REF!+#REF!+#REF!+#REF!+#REF!+#REF!+#REF!+#REF!+#REF!+#REF!+#REF!+#REF!</f>
        <v>#REF!</v>
      </c>
      <c r="V392" s="499"/>
      <c r="W392" s="317"/>
      <c r="X392" s="317"/>
      <c r="Y392" s="317"/>
      <c r="Z392" s="317"/>
      <c r="AA392" s="1594"/>
      <c r="AB392" s="1594"/>
      <c r="AC392" s="317"/>
      <c r="AD392" s="1594"/>
      <c r="AE392" s="1594"/>
      <c r="AF392" s="1594"/>
      <c r="AG392" s="1594"/>
      <c r="AH392" s="1594"/>
      <c r="AI392" s="1594"/>
      <c r="AJ392" s="1594"/>
      <c r="AK392" s="1594"/>
      <c r="AL392" s="1594"/>
      <c r="AM392" s="534"/>
    </row>
    <row r="393" spans="1:39">
      <c r="A393" s="1584"/>
      <c r="B393" s="1595" t="s">
        <v>329</v>
      </c>
      <c r="C393" s="1595"/>
      <c r="D393" s="331"/>
      <c r="E393" s="1595"/>
      <c r="F393" s="331"/>
      <c r="G393" s="1595"/>
      <c r="H393" s="241"/>
      <c r="I393" s="1595"/>
      <c r="J393" s="1595"/>
      <c r="K393" s="1595"/>
      <c r="L393" s="1595"/>
      <c r="M393" s="1595"/>
      <c r="N393" s="1595"/>
      <c r="O393" s="1595"/>
      <c r="P393" s="1595"/>
      <c r="Q393" s="317" t="e">
        <f>#REF!</f>
        <v>#REF!</v>
      </c>
      <c r="R393" s="1594"/>
      <c r="S393" s="1594"/>
      <c r="T393" s="1594"/>
      <c r="U393" s="621" t="e">
        <f>#REF!</f>
        <v>#REF!</v>
      </c>
      <c r="V393" s="499"/>
      <c r="W393" s="317"/>
      <c r="X393" s="317"/>
      <c r="Y393" s="317"/>
      <c r="Z393" s="317"/>
      <c r="AA393" s="1594"/>
      <c r="AB393" s="1594"/>
      <c r="AC393" s="317"/>
      <c r="AD393" s="1594"/>
      <c r="AE393" s="1594"/>
      <c r="AF393" s="1594"/>
      <c r="AG393" s="1594"/>
      <c r="AH393" s="1594"/>
      <c r="AI393" s="1594"/>
      <c r="AJ393" s="1594"/>
      <c r="AK393" s="1594"/>
      <c r="AL393" s="1594"/>
      <c r="AM393" s="534"/>
    </row>
    <row r="394" spans="1:39">
      <c r="A394" s="1584"/>
      <c r="B394" s="1595" t="s">
        <v>114</v>
      </c>
      <c r="C394" s="1595"/>
      <c r="D394" s="331">
        <f>'GENERAL EXP NOTA 35'!F176+'GENERAL EXP NOTA 35'!F177</f>
        <v>481850.26</v>
      </c>
      <c r="E394" s="1595"/>
      <c r="F394" s="331">
        <f>'GENERAL EXP NOTA 35'!E176</f>
        <v>272074.90999999997</v>
      </c>
      <c r="G394" s="1595"/>
      <c r="H394" s="241"/>
      <c r="I394" s="1595"/>
      <c r="J394" s="1595"/>
      <c r="K394" s="1595"/>
      <c r="L394" s="1595"/>
      <c r="M394" s="1595"/>
      <c r="N394" s="1595"/>
      <c r="O394" s="1595"/>
      <c r="P394" s="1595"/>
      <c r="Q394" s="317" t="e">
        <f>#REF!+#REF!+#REF!</f>
        <v>#REF!</v>
      </c>
      <c r="R394" s="1594"/>
      <c r="S394" s="1594"/>
      <c r="T394" s="1594"/>
      <c r="U394" s="621" t="e">
        <f>#REF!+#REF!</f>
        <v>#REF!</v>
      </c>
      <c r="V394" s="499"/>
      <c r="W394" s="317"/>
      <c r="X394" s="317"/>
      <c r="Y394" s="317"/>
      <c r="Z394" s="317"/>
      <c r="AA394" s="1594"/>
      <c r="AB394" s="1594"/>
      <c r="AC394" s="317"/>
      <c r="AD394" s="1594"/>
      <c r="AE394" s="1594"/>
      <c r="AF394" s="1594"/>
      <c r="AG394" s="1594"/>
      <c r="AH394" s="1594"/>
      <c r="AI394" s="1594"/>
      <c r="AJ394" s="1594"/>
      <c r="AK394" s="1594"/>
      <c r="AL394" s="1594"/>
      <c r="AM394" s="534"/>
    </row>
    <row r="395" spans="1:39">
      <c r="A395" s="1584"/>
      <c r="B395" s="1595" t="s">
        <v>1916</v>
      </c>
      <c r="C395" s="1595"/>
      <c r="D395" s="331">
        <f>'GENERAL EXP NOTA 35'!F178</f>
        <v>360765.9</v>
      </c>
      <c r="E395" s="1595"/>
      <c r="F395" s="331">
        <f>'GENERAL EXP NOTA 35'!E178</f>
        <v>321096</v>
      </c>
      <c r="G395" s="1595"/>
      <c r="H395" s="241"/>
      <c r="I395" s="1595"/>
      <c r="J395" s="1595"/>
      <c r="K395" s="1595"/>
      <c r="L395" s="1595"/>
      <c r="M395" s="1595"/>
      <c r="N395" s="1595"/>
      <c r="O395" s="1595"/>
      <c r="P395" s="1595"/>
      <c r="Q395" s="317" t="e">
        <f>#REF!</f>
        <v>#REF!</v>
      </c>
      <c r="R395" s="1594"/>
      <c r="S395" s="1594"/>
      <c r="T395" s="1594"/>
      <c r="U395" s="621">
        <v>0</v>
      </c>
      <c r="V395" s="499"/>
      <c r="W395" s="317"/>
      <c r="X395" s="317"/>
      <c r="Y395" s="317"/>
      <c r="Z395" s="317"/>
      <c r="AA395" s="1594"/>
      <c r="AB395" s="1594"/>
      <c r="AC395" s="317"/>
      <c r="AD395" s="1594"/>
      <c r="AE395" s="1594"/>
      <c r="AF395" s="1594"/>
      <c r="AG395" s="1594"/>
      <c r="AH395" s="1594"/>
      <c r="AI395" s="1594"/>
      <c r="AJ395" s="1594"/>
      <c r="AK395" s="1594"/>
      <c r="AL395" s="1594"/>
      <c r="AM395" s="534"/>
    </row>
    <row r="396" spans="1:39">
      <c r="A396" s="1584"/>
      <c r="B396" s="1595" t="s">
        <v>1917</v>
      </c>
      <c r="C396" s="1595"/>
      <c r="D396" s="331">
        <f>'GENERAL EXP NOTA 35'!F175</f>
        <v>7844979.8099999996</v>
      </c>
      <c r="E396" s="1595"/>
      <c r="F396" s="331">
        <f>'GENERAL EXP NOTA 35'!E175</f>
        <v>47274.28</v>
      </c>
      <c r="G396" s="1595"/>
      <c r="H396" s="241"/>
      <c r="I396" s="1595"/>
      <c r="J396" s="1595"/>
      <c r="K396" s="1595"/>
      <c r="L396" s="1595"/>
      <c r="M396" s="1595"/>
      <c r="N396" s="1595"/>
      <c r="O396" s="1595"/>
      <c r="P396" s="1595"/>
      <c r="Q396" s="317"/>
      <c r="R396" s="1594"/>
      <c r="S396" s="1594"/>
      <c r="T396" s="1594"/>
      <c r="U396" s="621"/>
      <c r="V396" s="499"/>
      <c r="W396" s="317"/>
      <c r="X396" s="317"/>
      <c r="Y396" s="317"/>
      <c r="Z396" s="317"/>
      <c r="AA396" s="1594"/>
      <c r="AB396" s="1594"/>
      <c r="AC396" s="317"/>
      <c r="AD396" s="1594"/>
      <c r="AE396" s="1594"/>
      <c r="AF396" s="1594"/>
      <c r="AG396" s="1594"/>
      <c r="AH396" s="1594"/>
      <c r="AI396" s="1594"/>
      <c r="AJ396" s="1594"/>
      <c r="AK396" s="1594"/>
      <c r="AL396" s="1594"/>
      <c r="AM396" s="534"/>
    </row>
    <row r="397" spans="1:39">
      <c r="A397" s="1584"/>
      <c r="B397" s="1595" t="s">
        <v>2434</v>
      </c>
      <c r="C397" s="1595"/>
      <c r="D397" s="331">
        <f>'GENERAL EXP NOTA 35'!F179</f>
        <v>52998.1</v>
      </c>
      <c r="E397" s="1595"/>
      <c r="F397" s="331"/>
      <c r="G397" s="1595"/>
      <c r="H397" s="241"/>
      <c r="I397" s="1595"/>
      <c r="J397" s="1595"/>
      <c r="K397" s="1595"/>
      <c r="L397" s="1595"/>
      <c r="M397" s="1595"/>
      <c r="N397" s="1595"/>
      <c r="O397" s="1595"/>
      <c r="P397" s="1595"/>
      <c r="Q397" s="317"/>
      <c r="R397" s="1594"/>
      <c r="S397" s="1594"/>
      <c r="T397" s="1594"/>
      <c r="U397" s="621"/>
      <c r="V397" s="499"/>
      <c r="W397" s="317"/>
      <c r="X397" s="317"/>
      <c r="Y397" s="317"/>
      <c r="Z397" s="317"/>
      <c r="AA397" s="1594"/>
      <c r="AB397" s="1594"/>
      <c r="AC397" s="317"/>
      <c r="AD397" s="1594"/>
      <c r="AE397" s="1594"/>
      <c r="AF397" s="1594"/>
      <c r="AG397" s="1594"/>
      <c r="AH397" s="1594"/>
      <c r="AI397" s="1594"/>
      <c r="AJ397" s="1594"/>
      <c r="AK397" s="1594"/>
      <c r="AL397" s="1594"/>
      <c r="AM397" s="534"/>
    </row>
    <row r="398" spans="1:39">
      <c r="A398" s="1584"/>
      <c r="B398" s="1595" t="s">
        <v>1938</v>
      </c>
      <c r="C398" s="1595"/>
      <c r="D398" s="331">
        <f>'GENERAL EXP NOTA 35'!F180</f>
        <v>0</v>
      </c>
      <c r="E398" s="1595"/>
      <c r="F398" s="331">
        <f>'GENERAL EXP NOTA 35'!E180</f>
        <v>97880.15</v>
      </c>
      <c r="G398" s="1595"/>
      <c r="H398" s="241"/>
      <c r="I398" s="1595"/>
      <c r="J398" s="1595"/>
      <c r="K398" s="1595"/>
      <c r="L398" s="1595"/>
      <c r="M398" s="1595"/>
      <c r="N398" s="1595"/>
      <c r="O398" s="1595"/>
      <c r="P398" s="1595"/>
      <c r="Q398" s="317" t="e">
        <f>#REF!</f>
        <v>#REF!</v>
      </c>
      <c r="R398" s="1594"/>
      <c r="S398" s="1594"/>
      <c r="T398" s="1594"/>
      <c r="U398" s="621" t="e">
        <f>#REF!</f>
        <v>#REF!</v>
      </c>
      <c r="V398" s="499"/>
      <c r="W398" s="317"/>
      <c r="X398" s="317"/>
      <c r="Y398" s="317"/>
      <c r="Z398" s="317"/>
      <c r="AA398" s="1594"/>
      <c r="AB398" s="1594"/>
      <c r="AC398" s="317"/>
      <c r="AD398" s="1594"/>
      <c r="AE398" s="1594"/>
      <c r="AF398" s="1594"/>
      <c r="AG398" s="1594"/>
      <c r="AH398" s="1594"/>
      <c r="AI398" s="1594"/>
      <c r="AJ398" s="1594"/>
      <c r="AK398" s="1594"/>
      <c r="AL398" s="1594"/>
      <c r="AM398" s="534"/>
    </row>
    <row r="399" spans="1:39">
      <c r="A399" s="1584"/>
      <c r="B399" s="1595" t="s">
        <v>1299</v>
      </c>
      <c r="C399" s="1595"/>
      <c r="D399" s="331">
        <f>'GENERAL EXP NOTA 35'!F184</f>
        <v>1868372.61</v>
      </c>
      <c r="E399" s="1595"/>
      <c r="F399" s="331">
        <f>'GENERAL EXP NOTA 35'!E184</f>
        <v>3031060.58</v>
      </c>
      <c r="G399" s="1595"/>
      <c r="H399" s="241"/>
      <c r="I399" s="1595"/>
      <c r="J399" s="1595"/>
      <c r="K399" s="1595"/>
      <c r="L399" s="1595"/>
      <c r="M399" s="1595"/>
      <c r="N399" s="1595"/>
      <c r="O399" s="1595"/>
      <c r="P399" s="1595"/>
      <c r="Q399" s="317" t="e">
        <f>#REF!</f>
        <v>#REF!</v>
      </c>
      <c r="R399" s="1594"/>
      <c r="S399" s="1594"/>
      <c r="T399" s="1594"/>
      <c r="U399" s="621"/>
      <c r="V399" s="499"/>
      <c r="W399" s="317"/>
      <c r="X399" s="317"/>
      <c r="Y399" s="317"/>
      <c r="Z399" s="317"/>
      <c r="AA399" s="1594"/>
      <c r="AB399" s="1594"/>
      <c r="AC399" s="317"/>
      <c r="AD399" s="1594"/>
      <c r="AE399" s="1594"/>
      <c r="AF399" s="1594"/>
      <c r="AG399" s="1594"/>
      <c r="AH399" s="1594"/>
      <c r="AI399" s="1594"/>
      <c r="AJ399" s="1594"/>
      <c r="AK399" s="1594"/>
      <c r="AL399" s="1594"/>
      <c r="AM399" s="534"/>
    </row>
    <row r="400" spans="1:39">
      <c r="A400" s="1584"/>
      <c r="B400" s="1595" t="s">
        <v>2893</v>
      </c>
      <c r="C400" s="1595"/>
      <c r="D400" s="331">
        <f>'GENERAL EXP NOTA 35'!F181</f>
        <v>503815.92</v>
      </c>
      <c r="E400" s="1595"/>
      <c r="F400" s="331"/>
      <c r="G400" s="1595"/>
      <c r="H400" s="241"/>
      <c r="I400" s="1595"/>
      <c r="J400" s="1595"/>
      <c r="K400" s="1595"/>
      <c r="L400" s="1595"/>
      <c r="M400" s="1595"/>
      <c r="N400" s="1595"/>
      <c r="O400" s="1595"/>
      <c r="P400" s="1595"/>
      <c r="Q400" s="317"/>
      <c r="R400" s="1594"/>
      <c r="S400" s="1594"/>
      <c r="T400" s="1594"/>
      <c r="U400" s="621"/>
      <c r="V400" s="499"/>
      <c r="W400" s="317"/>
      <c r="X400" s="317"/>
      <c r="Y400" s="317"/>
      <c r="Z400" s="317"/>
      <c r="AA400" s="1594"/>
      <c r="AB400" s="1594"/>
      <c r="AC400" s="317"/>
      <c r="AD400" s="1594"/>
      <c r="AE400" s="1594"/>
      <c r="AF400" s="1594"/>
      <c r="AG400" s="1594"/>
      <c r="AH400" s="1594"/>
      <c r="AI400" s="1594"/>
      <c r="AJ400" s="1594"/>
      <c r="AK400" s="1594"/>
      <c r="AL400" s="1594"/>
      <c r="AM400" s="534"/>
    </row>
    <row r="401" spans="1:39">
      <c r="A401" s="1584"/>
      <c r="B401" s="1595" t="s">
        <v>2901</v>
      </c>
      <c r="C401" s="1595"/>
      <c r="D401" s="331">
        <f>'GENERAL EXP NOTA 35'!F182</f>
        <v>537627.67000000004</v>
      </c>
      <c r="E401" s="1595"/>
      <c r="F401" s="331"/>
      <c r="G401" s="1595"/>
      <c r="H401" s="241"/>
      <c r="I401" s="1595"/>
      <c r="J401" s="1595"/>
      <c r="K401" s="1595"/>
      <c r="L401" s="1595"/>
      <c r="M401" s="1595"/>
      <c r="N401" s="1595"/>
      <c r="O401" s="1595"/>
      <c r="P401" s="1595"/>
      <c r="Q401" s="317"/>
      <c r="R401" s="1594"/>
      <c r="S401" s="1594"/>
      <c r="T401" s="1594"/>
      <c r="U401" s="621"/>
      <c r="V401" s="499"/>
      <c r="W401" s="317"/>
      <c r="X401" s="317"/>
      <c r="Y401" s="317"/>
      <c r="Z401" s="317"/>
      <c r="AA401" s="1594"/>
      <c r="AB401" s="1594"/>
      <c r="AC401" s="317"/>
      <c r="AD401" s="1594"/>
      <c r="AE401" s="1594"/>
      <c r="AF401" s="1594"/>
      <c r="AG401" s="1594"/>
      <c r="AH401" s="1594"/>
      <c r="AI401" s="1594"/>
      <c r="AJ401" s="1594"/>
      <c r="AK401" s="1594"/>
      <c r="AL401" s="1594"/>
      <c r="AM401" s="534"/>
    </row>
    <row r="402" spans="1:39">
      <c r="A402" s="1584"/>
      <c r="B402" s="1595" t="s">
        <v>2027</v>
      </c>
      <c r="C402" s="1595"/>
      <c r="D402" s="327">
        <f>'GENERAL EXP NOTA 35'!F183</f>
        <v>0</v>
      </c>
      <c r="E402" s="1595"/>
      <c r="F402" s="327">
        <f>'GENERAL EXP NOTA 35'!E183</f>
        <v>5234591.3099999996</v>
      </c>
      <c r="G402" s="1595"/>
      <c r="H402" s="241"/>
      <c r="I402" s="1595"/>
      <c r="J402" s="1595"/>
      <c r="K402" s="1595"/>
      <c r="L402" s="1595"/>
      <c r="M402" s="1595"/>
      <c r="N402" s="1595"/>
      <c r="O402" s="1595"/>
      <c r="P402" s="1595"/>
      <c r="Q402" s="317">
        <v>0</v>
      </c>
      <c r="R402" s="1594"/>
      <c r="S402" s="1594"/>
      <c r="T402" s="1594"/>
      <c r="U402" s="621">
        <v>0</v>
      </c>
      <c r="V402" s="499"/>
      <c r="W402" s="317"/>
      <c r="X402" s="317"/>
      <c r="Y402" s="317"/>
      <c r="Z402" s="317"/>
      <c r="AA402" s="1594"/>
      <c r="AB402" s="1594"/>
      <c r="AC402" s="317"/>
      <c r="AD402" s="1594"/>
      <c r="AE402" s="1594"/>
      <c r="AF402" s="1594"/>
      <c r="AG402" s="1594"/>
      <c r="AH402" s="1594"/>
      <c r="AI402" s="1594"/>
      <c r="AJ402" s="1594"/>
      <c r="AK402" s="1594"/>
      <c r="AL402" s="1594"/>
      <c r="AM402" s="534"/>
    </row>
    <row r="403" spans="1:39">
      <c r="A403" s="1584"/>
      <c r="B403" s="1595"/>
      <c r="C403" s="1595"/>
      <c r="D403" s="325"/>
      <c r="E403" s="1595"/>
      <c r="F403" s="325"/>
      <c r="G403" s="1595"/>
      <c r="H403" s="241"/>
      <c r="I403" s="1595"/>
      <c r="J403" s="1595"/>
      <c r="K403" s="1595"/>
      <c r="L403" s="1595"/>
      <c r="M403" s="1595"/>
      <c r="N403" s="1595"/>
      <c r="O403" s="1595"/>
      <c r="P403" s="1595"/>
      <c r="Q403" s="317"/>
      <c r="R403" s="1594"/>
      <c r="S403" s="1594"/>
      <c r="T403" s="1594"/>
      <c r="U403" s="621"/>
      <c r="V403" s="499"/>
      <c r="W403" s="317"/>
      <c r="X403" s="317"/>
      <c r="Y403" s="317"/>
      <c r="Z403" s="317"/>
      <c r="AA403" s="1594"/>
      <c r="AB403" s="1594"/>
      <c r="AC403" s="317"/>
      <c r="AD403" s="1594"/>
      <c r="AE403" s="1594"/>
      <c r="AF403" s="1594"/>
      <c r="AG403" s="1594"/>
      <c r="AH403" s="1594"/>
      <c r="AI403" s="1594"/>
      <c r="AJ403" s="1594"/>
      <c r="AK403" s="1594"/>
      <c r="AL403" s="1594"/>
      <c r="AM403" s="534"/>
    </row>
    <row r="404" spans="1:39" ht="13.5" thickBot="1">
      <c r="A404" s="1584"/>
      <c r="B404" s="142" t="s">
        <v>2083</v>
      </c>
      <c r="C404" s="142"/>
      <c r="D404" s="143">
        <f>SUM(D351:D403)</f>
        <v>26955894.380000006</v>
      </c>
      <c r="E404" s="142"/>
      <c r="F404" s="143">
        <f>SUM(F351:F403)</f>
        <v>26268106.91</v>
      </c>
      <c r="G404" s="1595"/>
      <c r="H404" s="241"/>
      <c r="I404" s="1595"/>
      <c r="J404" s="1595"/>
      <c r="K404" s="1595"/>
      <c r="L404" s="1595"/>
      <c r="M404" s="1595"/>
      <c r="N404" s="1595"/>
      <c r="O404" s="1595"/>
      <c r="P404" s="1595"/>
      <c r="Q404" s="143" t="e">
        <f>SUM(Q351:Q403)</f>
        <v>#REF!</v>
      </c>
      <c r="R404" s="1594"/>
      <c r="S404" s="1594"/>
      <c r="T404" s="1594"/>
      <c r="U404" s="246" t="e">
        <f>SUM(U351:U403)</f>
        <v>#REF!</v>
      </c>
      <c r="V404" s="499"/>
      <c r="W404" s="317" t="e">
        <f>F404-Q404</f>
        <v>#REF!</v>
      </c>
      <c r="X404" s="317"/>
      <c r="Y404" s="317"/>
      <c r="Z404" s="317"/>
      <c r="AA404" s="1594"/>
      <c r="AB404" s="1594"/>
      <c r="AC404" s="317"/>
      <c r="AD404" s="1594"/>
      <c r="AE404" s="1594"/>
      <c r="AF404" s="1594"/>
      <c r="AG404" s="1594"/>
      <c r="AH404" s="1594"/>
      <c r="AI404" s="1594"/>
      <c r="AJ404" s="1594"/>
      <c r="AK404" s="1594"/>
      <c r="AL404" s="1594"/>
      <c r="AM404" s="534"/>
    </row>
    <row r="405" spans="1:39" ht="13.5" thickTop="1">
      <c r="A405" s="279"/>
      <c r="B405" s="314"/>
      <c r="C405" s="314"/>
      <c r="D405" s="315"/>
      <c r="E405" s="314"/>
      <c r="F405" s="315"/>
      <c r="G405" s="314"/>
      <c r="Q405" s="317"/>
      <c r="R405" s="1594"/>
      <c r="S405" s="1594"/>
      <c r="T405" s="1594"/>
      <c r="U405" s="621"/>
      <c r="V405" s="499"/>
      <c r="W405" s="317"/>
      <c r="X405" s="317"/>
      <c r="Y405" s="317"/>
      <c r="Z405" s="317"/>
      <c r="AA405" s="1594"/>
      <c r="AB405" s="1594"/>
      <c r="AC405" s="317"/>
      <c r="AD405" s="1594"/>
      <c r="AE405" s="1594"/>
      <c r="AF405" s="1594"/>
      <c r="AG405" s="1594"/>
      <c r="AH405" s="1594"/>
      <c r="AI405" s="1594"/>
      <c r="AJ405" s="1594"/>
      <c r="AK405" s="1594"/>
      <c r="AL405" s="1594"/>
      <c r="AM405" s="534"/>
    </row>
    <row r="406" spans="1:39" hidden="1">
      <c r="A406" s="281"/>
      <c r="B406" s="211"/>
      <c r="C406" s="211"/>
      <c r="D406" s="328"/>
      <c r="E406" s="211"/>
      <c r="F406" s="328"/>
      <c r="G406" s="211"/>
      <c r="H406" s="329"/>
      <c r="I406" s="211"/>
      <c r="J406" s="211"/>
      <c r="K406" s="211"/>
      <c r="L406" s="211"/>
      <c r="M406" s="211"/>
      <c r="N406" s="211"/>
      <c r="O406" s="211"/>
      <c r="P406" s="211"/>
      <c r="Q406" s="211"/>
      <c r="R406" s="211"/>
      <c r="S406" s="211"/>
      <c r="T406" s="211"/>
      <c r="U406" s="645"/>
      <c r="V406" s="646"/>
      <c r="W406" s="317"/>
      <c r="X406" s="317"/>
      <c r="Y406" s="317"/>
      <c r="Z406" s="317"/>
      <c r="AA406" s="1594"/>
      <c r="AB406" s="1594"/>
      <c r="AC406" s="317"/>
      <c r="AD406" s="1594"/>
      <c r="AE406" s="1594"/>
      <c r="AF406" s="1594"/>
      <c r="AG406" s="1594"/>
      <c r="AH406" s="1594"/>
      <c r="AI406" s="1594"/>
      <c r="AJ406" s="1594"/>
      <c r="AK406" s="1594"/>
      <c r="AL406" s="1594"/>
      <c r="AM406" s="534"/>
    </row>
    <row r="407" spans="1:39" ht="17.25" hidden="1" customHeight="1">
      <c r="A407" s="1584">
        <v>36</v>
      </c>
      <c r="B407" s="141" t="s">
        <v>2144</v>
      </c>
      <c r="C407" s="1594"/>
      <c r="D407" s="140" t="s">
        <v>2077</v>
      </c>
      <c r="E407" s="1585"/>
      <c r="F407" s="140" t="s">
        <v>1796</v>
      </c>
      <c r="G407" s="1594"/>
      <c r="Q407" s="317"/>
      <c r="R407" s="1594"/>
      <c r="S407" s="1594"/>
      <c r="T407" s="1594"/>
      <c r="U407" s="621"/>
      <c r="V407" s="499"/>
      <c r="W407" s="317"/>
      <c r="X407" s="317"/>
      <c r="Y407" s="317"/>
      <c r="Z407" s="317"/>
      <c r="AA407" s="1594"/>
      <c r="AB407" s="1594"/>
      <c r="AC407" s="317"/>
      <c r="AD407" s="1594"/>
      <c r="AE407" s="1594"/>
      <c r="AF407" s="1594"/>
      <c r="AG407" s="1594"/>
      <c r="AH407" s="1594"/>
      <c r="AI407" s="1594"/>
      <c r="AJ407" s="1594"/>
      <c r="AK407" s="1594"/>
      <c r="AL407" s="1594"/>
      <c r="AM407" s="534"/>
    </row>
    <row r="408" spans="1:39" hidden="1">
      <c r="A408" s="1585"/>
      <c r="B408" s="135"/>
      <c r="C408" s="1594"/>
      <c r="D408" s="317"/>
      <c r="E408" s="1594"/>
      <c r="F408" s="317"/>
      <c r="G408" s="1594"/>
      <c r="Q408" s="315"/>
      <c r="R408" s="314"/>
      <c r="S408" s="314"/>
      <c r="T408" s="314"/>
      <c r="U408" s="634"/>
      <c r="V408" s="635"/>
      <c r="W408" s="317"/>
      <c r="X408" s="317"/>
      <c r="Y408" s="317"/>
      <c r="Z408" s="317"/>
      <c r="AA408" s="1594"/>
      <c r="AB408" s="1594"/>
      <c r="AC408" s="317"/>
      <c r="AD408" s="1594"/>
      <c r="AE408" s="1594"/>
      <c r="AF408" s="1594"/>
      <c r="AG408" s="1594"/>
      <c r="AH408" s="1594"/>
      <c r="AI408" s="1594"/>
      <c r="AJ408" s="1594"/>
      <c r="AK408" s="1594"/>
      <c r="AL408" s="1594"/>
      <c r="AM408" s="534"/>
    </row>
    <row r="409" spans="1:39" hidden="1">
      <c r="A409" s="1585"/>
      <c r="B409" s="1594" t="s">
        <v>284</v>
      </c>
      <c r="C409" s="1594"/>
      <c r="D409" s="319"/>
      <c r="E409" s="1594"/>
      <c r="F409" s="319"/>
      <c r="G409" s="1594"/>
      <c r="Q409" s="317"/>
      <c r="R409" s="1594"/>
      <c r="S409" s="1594"/>
      <c r="T409" s="1594"/>
      <c r="U409" s="621"/>
      <c r="V409" s="499"/>
      <c r="W409" s="317"/>
      <c r="X409" s="317"/>
      <c r="Y409" s="317"/>
      <c r="Z409" s="317"/>
      <c r="AA409" s="1594"/>
      <c r="AB409" s="1594"/>
      <c r="AC409" s="317"/>
      <c r="AD409" s="1594"/>
      <c r="AE409" s="1594"/>
      <c r="AF409" s="1594"/>
      <c r="AG409" s="1594"/>
      <c r="AH409" s="1594"/>
      <c r="AI409" s="1594"/>
      <c r="AJ409" s="1594"/>
      <c r="AK409" s="1594"/>
      <c r="AL409" s="1594"/>
      <c r="AM409" s="534"/>
    </row>
    <row r="410" spans="1:39" hidden="1">
      <c r="A410" s="1585"/>
      <c r="B410" s="1594" t="s">
        <v>693</v>
      </c>
      <c r="C410" s="1594"/>
      <c r="D410" s="213"/>
      <c r="E410" s="1594"/>
      <c r="F410" s="213"/>
      <c r="G410" s="1594"/>
      <c r="Q410" s="317"/>
      <c r="R410" s="1594"/>
      <c r="S410" s="1594"/>
      <c r="T410" s="1594"/>
      <c r="U410" s="621"/>
      <c r="V410" s="499"/>
      <c r="W410" s="317"/>
      <c r="X410" s="317"/>
      <c r="Y410" s="317"/>
      <c r="Z410" s="317"/>
      <c r="AA410" s="1594"/>
      <c r="AB410" s="1594"/>
      <c r="AC410" s="317"/>
      <c r="AD410" s="1594"/>
      <c r="AE410" s="1594"/>
      <c r="AF410" s="1594"/>
      <c r="AG410" s="1594"/>
      <c r="AH410" s="1594"/>
      <c r="AI410" s="1594"/>
      <c r="AJ410" s="1594"/>
      <c r="AK410" s="1594"/>
      <c r="AL410" s="1594"/>
      <c r="AM410" s="534"/>
    </row>
    <row r="411" spans="1:39" hidden="1">
      <c r="A411" s="1584"/>
      <c r="B411" s="313" t="s">
        <v>2145</v>
      </c>
      <c r="C411" s="1594"/>
      <c r="D411" s="213"/>
      <c r="E411" s="1594"/>
      <c r="F411" s="213"/>
      <c r="G411" s="1594"/>
      <c r="Q411" s="317"/>
      <c r="R411" s="1594"/>
      <c r="S411" s="1594"/>
      <c r="T411" s="1594"/>
      <c r="U411" s="621"/>
      <c r="V411" s="499"/>
      <c r="W411" s="317"/>
      <c r="X411" s="317"/>
      <c r="Y411" s="317"/>
      <c r="Z411" s="317"/>
      <c r="AA411" s="1594"/>
      <c r="AB411" s="1594"/>
      <c r="AC411" s="317"/>
      <c r="AD411" s="1594"/>
      <c r="AE411" s="1594"/>
      <c r="AF411" s="1594"/>
      <c r="AG411" s="1594"/>
      <c r="AH411" s="1594"/>
      <c r="AI411" s="1594"/>
      <c r="AJ411" s="1594"/>
      <c r="AK411" s="1594"/>
      <c r="AL411" s="1594"/>
      <c r="AM411" s="534"/>
    </row>
    <row r="412" spans="1:39" hidden="1">
      <c r="A412" s="1584"/>
      <c r="B412" s="313" t="s">
        <v>2146</v>
      </c>
      <c r="C412" s="1594"/>
      <c r="D412" s="213"/>
      <c r="E412" s="1594"/>
      <c r="F412" s="213"/>
      <c r="G412" s="1594"/>
      <c r="Q412" s="317"/>
      <c r="R412" s="1594"/>
      <c r="S412" s="1594"/>
      <c r="T412" s="1594"/>
      <c r="U412" s="621"/>
      <c r="V412" s="499"/>
      <c r="W412" s="317"/>
      <c r="X412" s="317"/>
      <c r="Y412" s="317"/>
      <c r="Z412" s="317"/>
      <c r="AA412" s="1594"/>
      <c r="AB412" s="1594"/>
      <c r="AC412" s="317"/>
      <c r="AD412" s="1594"/>
      <c r="AE412" s="1594"/>
      <c r="AF412" s="1594"/>
      <c r="AG412" s="1594"/>
      <c r="AH412" s="1594"/>
      <c r="AI412" s="1594"/>
      <c r="AJ412" s="1594"/>
      <c r="AK412" s="1594"/>
      <c r="AL412" s="1594"/>
      <c r="AM412" s="534"/>
    </row>
    <row r="413" spans="1:39" hidden="1">
      <c r="A413" s="1584"/>
      <c r="B413" s="313" t="s">
        <v>2147</v>
      </c>
      <c r="C413" s="1594"/>
      <c r="D413" s="338"/>
      <c r="E413" s="1594"/>
      <c r="F413" s="338"/>
      <c r="G413" s="1594"/>
      <c r="Q413" s="317"/>
      <c r="R413" s="1594"/>
      <c r="S413" s="1594"/>
      <c r="T413" s="1594"/>
      <c r="U413" s="621"/>
      <c r="V413" s="499"/>
      <c r="W413" s="317"/>
      <c r="X413" s="317"/>
      <c r="Y413" s="317"/>
      <c r="Z413" s="317"/>
      <c r="AA413" s="1594"/>
      <c r="AB413" s="1594"/>
      <c r="AC413" s="317"/>
      <c r="AD413" s="1594"/>
      <c r="AE413" s="1594"/>
      <c r="AF413" s="1594"/>
      <c r="AG413" s="1594"/>
      <c r="AH413" s="1594"/>
      <c r="AI413" s="1594"/>
      <c r="AJ413" s="1594"/>
      <c r="AK413" s="1594"/>
      <c r="AL413" s="1594"/>
      <c r="AM413" s="534"/>
    </row>
    <row r="414" spans="1:39" hidden="1">
      <c r="A414" s="1584"/>
      <c r="C414" s="1594"/>
      <c r="D414" s="317"/>
      <c r="E414" s="1594"/>
      <c r="F414" s="317"/>
      <c r="G414" s="1594"/>
      <c r="Q414" s="317"/>
      <c r="R414" s="1594"/>
      <c r="S414" s="1594"/>
      <c r="T414" s="1594"/>
      <c r="U414" s="621"/>
      <c r="V414" s="499"/>
      <c r="W414" s="317"/>
      <c r="X414" s="317"/>
      <c r="Y414" s="317"/>
      <c r="Z414" s="317"/>
      <c r="AA414" s="1594"/>
      <c r="AB414" s="1594"/>
      <c r="AC414" s="317"/>
      <c r="AD414" s="1594"/>
      <c r="AE414" s="1594"/>
      <c r="AF414" s="1594"/>
      <c r="AG414" s="1594"/>
      <c r="AH414" s="1594"/>
      <c r="AI414" s="1594"/>
      <c r="AJ414" s="1594"/>
      <c r="AK414" s="1594"/>
      <c r="AL414" s="1594"/>
      <c r="AM414" s="534"/>
    </row>
    <row r="415" spans="1:39" ht="13.5" hidden="1" thickBot="1">
      <c r="A415" s="1584"/>
      <c r="B415" s="141" t="s">
        <v>2148</v>
      </c>
      <c r="C415" s="1594"/>
      <c r="D415" s="637">
        <f>SUM(D409:D413)</f>
        <v>0</v>
      </c>
      <c r="E415" s="1594"/>
      <c r="F415" s="637">
        <f>SUM(F409:F413)</f>
        <v>0</v>
      </c>
      <c r="G415" s="1594"/>
      <c r="Q415" s="317"/>
      <c r="R415" s="1594"/>
      <c r="S415" s="1594"/>
      <c r="T415" s="1594"/>
      <c r="U415" s="621"/>
      <c r="V415" s="499"/>
      <c r="W415" s="317"/>
      <c r="X415" s="317"/>
      <c r="Y415" s="317"/>
      <c r="Z415" s="317"/>
      <c r="AA415" s="1594"/>
      <c r="AB415" s="1594"/>
      <c r="AC415" s="317"/>
      <c r="AD415" s="1594"/>
      <c r="AE415" s="1594"/>
      <c r="AF415" s="1594"/>
      <c r="AG415" s="1594"/>
      <c r="AH415" s="1594"/>
      <c r="AI415" s="1594"/>
      <c r="AJ415" s="1594"/>
      <c r="AK415" s="1594"/>
      <c r="AL415" s="1594"/>
      <c r="AM415" s="534"/>
    </row>
    <row r="416" spans="1:39" ht="13.5" hidden="1" thickTop="1">
      <c r="A416" s="1584"/>
      <c r="B416" s="141"/>
      <c r="C416" s="1594"/>
      <c r="D416" s="317"/>
      <c r="E416" s="1594"/>
      <c r="F416" s="317"/>
      <c r="G416" s="1594"/>
      <c r="Q416" s="317"/>
      <c r="R416" s="1594"/>
      <c r="S416" s="1594"/>
      <c r="T416" s="1594"/>
      <c r="U416" s="621"/>
      <c r="V416" s="499"/>
      <c r="W416" s="317"/>
      <c r="X416" s="317"/>
      <c r="Y416" s="317"/>
      <c r="Z416" s="317"/>
      <c r="AA416" s="1594"/>
      <c r="AB416" s="1594"/>
      <c r="AC416" s="317"/>
      <c r="AD416" s="1594"/>
      <c r="AE416" s="1594"/>
      <c r="AF416" s="1594"/>
      <c r="AG416" s="1594"/>
      <c r="AH416" s="1594"/>
      <c r="AI416" s="1594"/>
      <c r="AJ416" s="1594"/>
      <c r="AK416" s="1594"/>
      <c r="AL416" s="1594"/>
      <c r="AM416" s="534"/>
    </row>
    <row r="417" spans="1:39">
      <c r="A417" s="1584"/>
      <c r="C417" s="1594"/>
      <c r="D417" s="317"/>
      <c r="E417" s="1594"/>
      <c r="F417" s="317"/>
      <c r="G417" s="1594"/>
      <c r="Q417" s="317"/>
      <c r="R417" s="1594"/>
      <c r="S417" s="1594"/>
      <c r="T417" s="1594"/>
      <c r="U417" s="621"/>
      <c r="V417" s="499"/>
      <c r="W417" s="317"/>
      <c r="X417" s="317"/>
      <c r="Y417" s="317"/>
      <c r="Z417" s="317"/>
      <c r="AA417" s="1594"/>
      <c r="AB417" s="1594"/>
      <c r="AC417" s="317"/>
      <c r="AD417" s="1594"/>
      <c r="AE417" s="1594"/>
      <c r="AF417" s="1594"/>
      <c r="AG417" s="1594"/>
      <c r="AH417" s="1594"/>
      <c r="AI417" s="1594"/>
      <c r="AJ417" s="1594"/>
      <c r="AK417" s="1594"/>
      <c r="AL417" s="1594"/>
      <c r="AM417" s="534"/>
    </row>
    <row r="418" spans="1:39">
      <c r="A418" s="1584"/>
      <c r="B418" s="1594"/>
      <c r="C418" s="1594"/>
      <c r="D418" s="317"/>
      <c r="E418" s="1594"/>
      <c r="F418" s="317"/>
      <c r="G418" s="1594"/>
      <c r="Q418" s="317"/>
      <c r="R418" s="1594"/>
      <c r="S418" s="1594"/>
      <c r="T418" s="1594"/>
      <c r="U418" s="621"/>
      <c r="V418" s="499"/>
      <c r="W418" s="317"/>
      <c r="X418" s="317"/>
      <c r="Y418" s="317"/>
      <c r="Z418" s="317"/>
      <c r="AA418" s="1594"/>
      <c r="AB418" s="1594"/>
      <c r="AC418" s="317"/>
      <c r="AD418" s="1594"/>
      <c r="AE418" s="1594"/>
      <c r="AF418" s="1594"/>
      <c r="AG418" s="1594"/>
      <c r="AH418" s="1594"/>
      <c r="AI418" s="1594"/>
      <c r="AJ418" s="1594"/>
      <c r="AK418" s="1594"/>
      <c r="AL418" s="1594"/>
      <c r="AM418" s="534"/>
    </row>
    <row r="419" spans="1:39">
      <c r="A419" s="1589">
        <v>33</v>
      </c>
      <c r="B419" s="135" t="s">
        <v>1150</v>
      </c>
      <c r="C419" s="1594"/>
      <c r="D419" s="140" t="s">
        <v>2077</v>
      </c>
      <c r="E419" s="1594"/>
      <c r="F419" s="140" t="s">
        <v>1796</v>
      </c>
      <c r="G419" s="1594"/>
      <c r="Q419" s="276" t="s">
        <v>1452</v>
      </c>
      <c r="R419" s="1585"/>
      <c r="S419" s="1585"/>
      <c r="T419" s="1585"/>
      <c r="U419" s="225" t="s">
        <v>1036</v>
      </c>
      <c r="V419" s="499"/>
      <c r="W419" s="317"/>
      <c r="X419" s="317"/>
      <c r="Y419" s="317"/>
      <c r="Z419" s="317"/>
      <c r="AA419" s="1594"/>
      <c r="AB419" s="1594"/>
      <c r="AC419" s="317"/>
      <c r="AD419" s="1594"/>
      <c r="AE419" s="1594"/>
      <c r="AF419" s="1594"/>
      <c r="AG419" s="1594"/>
      <c r="AH419" s="1594"/>
      <c r="AI419" s="1594"/>
      <c r="AJ419" s="1594"/>
      <c r="AK419" s="1594"/>
      <c r="AL419" s="1594"/>
      <c r="AM419" s="534"/>
    </row>
    <row r="420" spans="1:39">
      <c r="A420" s="1584"/>
      <c r="B420" s="1594"/>
      <c r="C420" s="1594"/>
      <c r="D420" s="317"/>
      <c r="E420" s="1594"/>
      <c r="F420" s="317"/>
      <c r="G420" s="1594"/>
      <c r="Q420" s="317"/>
      <c r="R420" s="1594"/>
      <c r="S420" s="1594"/>
      <c r="T420" s="1594"/>
      <c r="U420" s="621"/>
      <c r="V420" s="499"/>
      <c r="W420" s="317"/>
      <c r="X420" s="317"/>
      <c r="Y420" s="317"/>
      <c r="Z420" s="317"/>
      <c r="AA420" s="1594"/>
      <c r="AB420" s="1594"/>
      <c r="AC420" s="317"/>
      <c r="AD420" s="1594"/>
      <c r="AE420" s="1594"/>
      <c r="AF420" s="1594"/>
      <c r="AG420" s="1594"/>
      <c r="AH420" s="1594"/>
      <c r="AI420" s="1594"/>
      <c r="AJ420" s="1594"/>
      <c r="AK420" s="1594"/>
      <c r="AL420" s="1594"/>
      <c r="AM420" s="534"/>
    </row>
    <row r="421" spans="1:39">
      <c r="A421" s="1584"/>
      <c r="B421" s="1594"/>
      <c r="C421" s="1594"/>
      <c r="D421" s="317"/>
      <c r="E421" s="1594"/>
      <c r="F421" s="317"/>
      <c r="G421" s="1594"/>
      <c r="Q421" s="317"/>
      <c r="R421" s="1594"/>
      <c r="S421" s="1594"/>
      <c r="T421" s="1594"/>
      <c r="U421" s="621"/>
      <c r="V421" s="499"/>
      <c r="W421" s="317"/>
      <c r="X421" s="317"/>
      <c r="Y421" s="317"/>
      <c r="Z421" s="317"/>
      <c r="AA421" s="1594"/>
      <c r="AB421" s="1594"/>
      <c r="AC421" s="317"/>
      <c r="AD421" s="1594"/>
      <c r="AE421" s="1594"/>
      <c r="AF421" s="1594"/>
      <c r="AG421" s="1594"/>
      <c r="AH421" s="1594"/>
      <c r="AI421" s="1594"/>
      <c r="AJ421" s="1594"/>
      <c r="AK421" s="1594"/>
      <c r="AL421" s="1594"/>
      <c r="AM421" s="534"/>
    </row>
    <row r="422" spans="1:39" ht="25.5">
      <c r="A422" s="281"/>
      <c r="B422" s="142" t="s">
        <v>1754</v>
      </c>
      <c r="C422" s="142"/>
      <c r="D422" s="144"/>
      <c r="E422" s="142"/>
      <c r="F422" s="144"/>
      <c r="G422" s="211"/>
      <c r="H422" s="329"/>
      <c r="I422" s="211"/>
      <c r="J422" s="211"/>
      <c r="K422" s="211"/>
      <c r="L422" s="211"/>
      <c r="M422" s="211"/>
      <c r="N422" s="211"/>
      <c r="O422" s="211"/>
      <c r="P422" s="211"/>
      <c r="Q422" s="158">
        <f>SUM(Q424:Q445)</f>
        <v>-1488298.77</v>
      </c>
      <c r="R422" s="211"/>
      <c r="S422" s="211"/>
      <c r="T422" s="211"/>
      <c r="U422" s="657">
        <v>0</v>
      </c>
      <c r="V422" s="646"/>
      <c r="W422" s="317"/>
      <c r="X422" s="317"/>
      <c r="Y422" s="317"/>
      <c r="Z422" s="317"/>
      <c r="AA422" s="1594"/>
      <c r="AB422" s="1594"/>
      <c r="AC422" s="317"/>
      <c r="AD422" s="1594"/>
      <c r="AE422" s="1594"/>
      <c r="AF422" s="1594"/>
      <c r="AG422" s="1594"/>
      <c r="AH422" s="1594"/>
      <c r="AI422" s="1594"/>
      <c r="AJ422" s="1594"/>
      <c r="AK422" s="1594"/>
      <c r="AL422" s="1594"/>
      <c r="AM422" s="534"/>
    </row>
    <row r="423" spans="1:39" ht="13.5" thickBot="1">
      <c r="A423" s="281"/>
      <c r="B423" s="135"/>
      <c r="C423" s="135"/>
      <c r="D423" s="136"/>
      <c r="E423" s="135"/>
      <c r="F423" s="136"/>
      <c r="G423" s="211"/>
      <c r="H423" s="329"/>
      <c r="I423" s="211"/>
      <c r="J423" s="211"/>
      <c r="K423" s="211"/>
      <c r="L423" s="211"/>
      <c r="M423" s="211"/>
      <c r="N423" s="211"/>
      <c r="O423" s="211"/>
      <c r="P423" s="211"/>
      <c r="Q423" s="158"/>
      <c r="R423" s="211"/>
      <c r="S423" s="211"/>
      <c r="T423" s="211"/>
      <c r="U423" s="657"/>
      <c r="V423" s="646"/>
      <c r="W423" s="317"/>
      <c r="X423" s="317"/>
      <c r="Y423" s="317"/>
      <c r="Z423" s="317"/>
      <c r="AA423" s="1594"/>
      <c r="AB423" s="1594"/>
      <c r="AC423" s="317"/>
      <c r="AD423" s="1594"/>
      <c r="AE423" s="1594"/>
      <c r="AF423" s="1594"/>
      <c r="AG423" s="1594"/>
      <c r="AH423" s="1594"/>
      <c r="AI423" s="1594"/>
      <c r="AJ423" s="1594"/>
      <c r="AK423" s="1594"/>
      <c r="AL423" s="1594"/>
      <c r="AM423" s="534"/>
    </row>
    <row r="424" spans="1:39">
      <c r="A424" s="281"/>
      <c r="B424" s="1594" t="s">
        <v>1743</v>
      </c>
      <c r="C424" s="1594"/>
      <c r="D424" s="319"/>
      <c r="E424" s="1594"/>
      <c r="F424" s="319"/>
      <c r="G424" s="211"/>
      <c r="H424" s="329"/>
      <c r="I424" s="211"/>
      <c r="J424" s="211"/>
      <c r="K424" s="211"/>
      <c r="L424" s="211"/>
      <c r="M424" s="211"/>
      <c r="N424" s="211"/>
      <c r="O424" s="211"/>
      <c r="P424" s="211"/>
      <c r="Q424" s="1134">
        <v>150000</v>
      </c>
      <c r="R424" s="211"/>
      <c r="S424" s="211"/>
      <c r="T424" s="211"/>
      <c r="U424" s="658">
        <v>0</v>
      </c>
      <c r="V424" s="646"/>
      <c r="W424" s="317"/>
      <c r="X424" s="317"/>
      <c r="Y424" s="317"/>
      <c r="Z424" s="317"/>
      <c r="AA424" s="1594"/>
      <c r="AB424" s="1594"/>
      <c r="AC424" s="317"/>
      <c r="AD424" s="1594"/>
      <c r="AE424" s="1594"/>
      <c r="AF424" s="1594"/>
      <c r="AG424" s="1594"/>
      <c r="AH424" s="1594"/>
      <c r="AI424" s="1594"/>
      <c r="AJ424" s="1594"/>
      <c r="AK424" s="1594"/>
      <c r="AL424" s="1594"/>
      <c r="AM424" s="534"/>
    </row>
    <row r="425" spans="1:39">
      <c r="A425" s="281"/>
      <c r="B425" s="1135" t="s">
        <v>1750</v>
      </c>
      <c r="C425" s="1135"/>
      <c r="D425" s="324"/>
      <c r="E425" s="1135"/>
      <c r="F425" s="324"/>
      <c r="G425" s="211"/>
      <c r="H425" s="329"/>
      <c r="I425" s="211"/>
      <c r="J425" s="211"/>
      <c r="K425" s="211"/>
      <c r="L425" s="211"/>
      <c r="M425" s="211"/>
      <c r="N425" s="211"/>
      <c r="O425" s="211"/>
      <c r="P425" s="211"/>
      <c r="Q425" s="1136">
        <v>450000</v>
      </c>
      <c r="R425" s="211"/>
      <c r="S425" s="211"/>
      <c r="T425" s="211"/>
      <c r="U425" s="659">
        <v>0</v>
      </c>
      <c r="V425" s="646"/>
      <c r="W425" s="317"/>
      <c r="X425" s="317"/>
      <c r="Y425" s="317"/>
      <c r="Z425" s="317"/>
      <c r="AA425" s="1594"/>
      <c r="AB425" s="1594"/>
      <c r="AC425" s="317"/>
      <c r="AD425" s="1594"/>
      <c r="AE425" s="1594"/>
      <c r="AF425" s="1594"/>
      <c r="AG425" s="1594"/>
      <c r="AH425" s="1594"/>
      <c r="AI425" s="1594"/>
      <c r="AJ425" s="1594"/>
      <c r="AK425" s="1594"/>
      <c r="AL425" s="1594"/>
      <c r="AM425" s="534"/>
    </row>
    <row r="426" spans="1:39" ht="25.5">
      <c r="A426" s="281"/>
      <c r="B426" s="1137" t="s">
        <v>1751</v>
      </c>
      <c r="C426" s="1137"/>
      <c r="D426" s="632"/>
      <c r="E426" s="1137"/>
      <c r="F426" s="632"/>
      <c r="G426" s="211"/>
      <c r="H426" s="329"/>
      <c r="I426" s="211"/>
      <c r="J426" s="211"/>
      <c r="K426" s="211"/>
      <c r="L426" s="211"/>
      <c r="M426" s="211"/>
      <c r="N426" s="211"/>
      <c r="O426" s="211"/>
      <c r="P426" s="211"/>
      <c r="Q426" s="1136">
        <v>108167.39</v>
      </c>
      <c r="R426" s="211"/>
      <c r="S426" s="211"/>
      <c r="T426" s="211"/>
      <c r="U426" s="659">
        <v>0</v>
      </c>
      <c r="V426" s="646"/>
      <c r="W426" s="317"/>
      <c r="X426" s="317"/>
      <c r="Y426" s="317"/>
      <c r="Z426" s="317"/>
      <c r="AA426" s="1594"/>
      <c r="AB426" s="1594"/>
      <c r="AC426" s="317"/>
      <c r="AD426" s="1594"/>
      <c r="AE426" s="1594"/>
      <c r="AF426" s="1594"/>
      <c r="AG426" s="1594"/>
      <c r="AH426" s="1594"/>
      <c r="AI426" s="1594"/>
      <c r="AJ426" s="1594"/>
      <c r="AK426" s="1594"/>
      <c r="AL426" s="1594"/>
      <c r="AM426" s="534"/>
    </row>
    <row r="427" spans="1:39" ht="25.5">
      <c r="A427" s="281"/>
      <c r="B427" s="1137" t="s">
        <v>1752</v>
      </c>
      <c r="C427" s="1137"/>
      <c r="D427" s="632"/>
      <c r="E427" s="1137"/>
      <c r="F427" s="632"/>
      <c r="G427" s="211"/>
      <c r="H427" s="329"/>
      <c r="I427" s="211"/>
      <c r="J427" s="211"/>
      <c r="K427" s="211"/>
      <c r="L427" s="211"/>
      <c r="M427" s="211"/>
      <c r="N427" s="211"/>
      <c r="O427" s="211"/>
      <c r="P427" s="211"/>
      <c r="Q427" s="1136">
        <v>-200</v>
      </c>
      <c r="R427" s="211"/>
      <c r="S427" s="211"/>
      <c r="T427" s="211"/>
      <c r="U427" s="659">
        <v>0</v>
      </c>
      <c r="V427" s="646"/>
      <c r="W427" s="317"/>
      <c r="X427" s="317"/>
      <c r="Y427" s="317"/>
      <c r="Z427" s="317"/>
      <c r="AA427" s="1594"/>
      <c r="AB427" s="1594"/>
      <c r="AC427" s="317"/>
      <c r="AD427" s="1594"/>
      <c r="AE427" s="1594"/>
      <c r="AF427" s="1594"/>
      <c r="AG427" s="1594"/>
      <c r="AH427" s="1594"/>
      <c r="AI427" s="1594"/>
      <c r="AJ427" s="1594"/>
      <c r="AK427" s="1594"/>
      <c r="AL427" s="1594"/>
      <c r="AM427" s="534"/>
    </row>
    <row r="428" spans="1:39">
      <c r="A428" s="281"/>
      <c r="B428" s="1137" t="s">
        <v>2894</v>
      </c>
      <c r="C428" s="1137"/>
      <c r="D428" s="632"/>
      <c r="E428" s="1137"/>
      <c r="F428" s="632">
        <v>28802.29</v>
      </c>
      <c r="G428" s="211"/>
      <c r="H428" s="329"/>
      <c r="I428" s="211"/>
      <c r="J428" s="211"/>
      <c r="K428" s="211"/>
      <c r="L428" s="211"/>
      <c r="M428" s="211"/>
      <c r="N428" s="211"/>
      <c r="O428" s="211"/>
      <c r="P428" s="211"/>
      <c r="Q428" s="1136"/>
      <c r="R428" s="211"/>
      <c r="S428" s="211"/>
      <c r="T428" s="211"/>
      <c r="U428" s="659"/>
      <c r="V428" s="646"/>
      <c r="W428" s="317"/>
      <c r="X428" s="317"/>
      <c r="Y428" s="317"/>
      <c r="Z428" s="317"/>
      <c r="AA428" s="1594"/>
      <c r="AB428" s="1594"/>
      <c r="AC428" s="317"/>
      <c r="AD428" s="1594"/>
      <c r="AE428" s="1594"/>
      <c r="AF428" s="1594"/>
      <c r="AG428" s="1594"/>
      <c r="AH428" s="1594"/>
      <c r="AI428" s="1594"/>
      <c r="AJ428" s="1594"/>
      <c r="AK428" s="1594"/>
      <c r="AL428" s="1594"/>
      <c r="AM428" s="534"/>
    </row>
    <row r="429" spans="1:39">
      <c r="A429" s="281"/>
      <c r="B429" s="1137" t="s">
        <v>1870</v>
      </c>
      <c r="C429" s="1137"/>
      <c r="D429" s="632"/>
      <c r="E429" s="1137"/>
      <c r="F429" s="632"/>
      <c r="G429" s="211"/>
      <c r="H429" s="329"/>
      <c r="I429" s="211"/>
      <c r="J429" s="211"/>
      <c r="K429" s="211"/>
      <c r="L429" s="211"/>
      <c r="M429" s="211"/>
      <c r="N429" s="211"/>
      <c r="O429" s="211"/>
      <c r="P429" s="211"/>
      <c r="Q429" s="1136"/>
      <c r="R429" s="211"/>
      <c r="S429" s="211"/>
      <c r="T429" s="211"/>
      <c r="U429" s="659"/>
      <c r="V429" s="646"/>
      <c r="W429" s="317"/>
      <c r="X429" s="317"/>
      <c r="Y429" s="317"/>
      <c r="Z429" s="317"/>
      <c r="AA429" s="1594"/>
      <c r="AB429" s="1594"/>
      <c r="AC429" s="317"/>
      <c r="AD429" s="1594"/>
      <c r="AE429" s="1594"/>
      <c r="AF429" s="1594"/>
      <c r="AG429" s="1594"/>
      <c r="AH429" s="1594"/>
      <c r="AI429" s="1594"/>
      <c r="AJ429" s="1594"/>
      <c r="AK429" s="1594"/>
      <c r="AL429" s="1594"/>
      <c r="AM429" s="534"/>
    </row>
    <row r="430" spans="1:39">
      <c r="A430" s="281"/>
      <c r="B430" s="1137" t="s">
        <v>1868</v>
      </c>
      <c r="C430" s="1137"/>
      <c r="D430" s="632"/>
      <c r="E430" s="1137"/>
      <c r="F430" s="632">
        <v>1949091</v>
      </c>
      <c r="G430" s="211"/>
      <c r="H430" s="329"/>
      <c r="I430" s="211"/>
      <c r="J430" s="211"/>
      <c r="K430" s="211"/>
      <c r="L430" s="211"/>
      <c r="M430" s="211"/>
      <c r="N430" s="211"/>
      <c r="O430" s="211"/>
      <c r="P430" s="211"/>
      <c r="Q430" s="1136"/>
      <c r="R430" s="211"/>
      <c r="S430" s="211"/>
      <c r="T430" s="211"/>
      <c r="U430" s="659"/>
      <c r="V430" s="646"/>
      <c r="W430" s="317"/>
      <c r="X430" s="317"/>
      <c r="Y430" s="317"/>
      <c r="Z430" s="317"/>
      <c r="AA430" s="1594"/>
      <c r="AB430" s="1594"/>
      <c r="AC430" s="317"/>
      <c r="AD430" s="1594"/>
      <c r="AE430" s="1594"/>
      <c r="AF430" s="1594"/>
      <c r="AG430" s="1594"/>
      <c r="AH430" s="1594"/>
      <c r="AI430" s="1594"/>
      <c r="AJ430" s="1594"/>
      <c r="AK430" s="1594"/>
      <c r="AL430" s="1594"/>
      <c r="AM430" s="534"/>
    </row>
    <row r="431" spans="1:39">
      <c r="A431" s="281"/>
      <c r="B431" s="1137" t="s">
        <v>1869</v>
      </c>
      <c r="C431" s="1137"/>
      <c r="D431" s="632"/>
      <c r="E431" s="1137"/>
      <c r="F431" s="632">
        <v>754842.32</v>
      </c>
      <c r="G431" s="211"/>
      <c r="H431" s="329"/>
      <c r="I431" s="211"/>
      <c r="J431" s="211"/>
      <c r="K431" s="211"/>
      <c r="L431" s="211"/>
      <c r="M431" s="211"/>
      <c r="N431" s="211"/>
      <c r="O431" s="211"/>
      <c r="P431" s="211"/>
      <c r="Q431" s="1136"/>
      <c r="R431" s="211"/>
      <c r="S431" s="211"/>
      <c r="T431" s="211"/>
      <c r="U431" s="659"/>
      <c r="V431" s="646"/>
      <c r="W431" s="317"/>
      <c r="X431" s="317"/>
      <c r="Y431" s="317"/>
      <c r="Z431" s="317"/>
      <c r="AA431" s="1594"/>
      <c r="AB431" s="1594"/>
      <c r="AC431" s="317"/>
      <c r="AD431" s="1594"/>
      <c r="AE431" s="1594"/>
      <c r="AF431" s="1594"/>
      <c r="AG431" s="1594"/>
      <c r="AH431" s="1594"/>
      <c r="AI431" s="1594"/>
      <c r="AJ431" s="1594"/>
      <c r="AK431" s="1594"/>
      <c r="AL431" s="1594"/>
      <c r="AM431" s="534"/>
    </row>
    <row r="432" spans="1:39">
      <c r="A432" s="281"/>
      <c r="B432" s="1137" t="s">
        <v>1867</v>
      </c>
      <c r="C432" s="1137"/>
      <c r="D432" s="632"/>
      <c r="E432" s="1137"/>
      <c r="F432" s="632">
        <v>-1278164.06</v>
      </c>
      <c r="G432" s="211"/>
      <c r="H432" s="329"/>
      <c r="I432" s="211"/>
      <c r="J432" s="211"/>
      <c r="K432" s="211"/>
      <c r="L432" s="211"/>
      <c r="M432" s="211"/>
      <c r="N432" s="211"/>
      <c r="O432" s="211"/>
      <c r="P432" s="211"/>
      <c r="Q432" s="1136"/>
      <c r="R432" s="211"/>
      <c r="S432" s="211"/>
      <c r="T432" s="211"/>
      <c r="U432" s="659"/>
      <c r="V432" s="646"/>
      <c r="W432" s="317"/>
      <c r="X432" s="317"/>
      <c r="Y432" s="317"/>
      <c r="Z432" s="317"/>
      <c r="AA432" s="1594"/>
      <c r="AB432" s="1594"/>
      <c r="AC432" s="317"/>
      <c r="AD432" s="1594"/>
      <c r="AE432" s="1594"/>
      <c r="AF432" s="1594"/>
      <c r="AG432" s="1594"/>
      <c r="AH432" s="1594"/>
      <c r="AI432" s="1594"/>
      <c r="AJ432" s="1594"/>
      <c r="AK432" s="1594"/>
      <c r="AL432" s="1594"/>
      <c r="AM432" s="534"/>
    </row>
    <row r="433" spans="1:39">
      <c r="A433" s="281"/>
      <c r="B433" s="1137" t="s">
        <v>1866</v>
      </c>
      <c r="C433" s="1137"/>
      <c r="D433" s="632"/>
      <c r="E433" s="1137"/>
      <c r="F433" s="632">
        <v>-36831.1</v>
      </c>
      <c r="G433" s="211"/>
      <c r="H433" s="329"/>
      <c r="I433" s="211"/>
      <c r="J433" s="211"/>
      <c r="K433" s="211"/>
      <c r="L433" s="211"/>
      <c r="M433" s="211"/>
      <c r="N433" s="211"/>
      <c r="O433" s="211"/>
      <c r="P433" s="211"/>
      <c r="Q433" s="1136"/>
      <c r="R433" s="211"/>
      <c r="S433" s="211"/>
      <c r="T433" s="211"/>
      <c r="U433" s="659"/>
      <c r="V433" s="646"/>
      <c r="W433" s="317"/>
      <c r="X433" s="317"/>
      <c r="Y433" s="317"/>
      <c r="Z433" s="317"/>
      <c r="AA433" s="1594"/>
      <c r="AB433" s="1594"/>
      <c r="AC433" s="317"/>
      <c r="AD433" s="1594"/>
      <c r="AE433" s="1594"/>
      <c r="AF433" s="1594"/>
      <c r="AG433" s="1594"/>
      <c r="AH433" s="1594"/>
      <c r="AI433" s="1594"/>
      <c r="AJ433" s="1594"/>
      <c r="AK433" s="1594"/>
      <c r="AL433" s="1594"/>
      <c r="AM433" s="534"/>
    </row>
    <row r="434" spans="1:39">
      <c r="A434" s="281"/>
      <c r="B434" s="1137" t="s">
        <v>1865</v>
      </c>
      <c r="C434" s="1137"/>
      <c r="D434" s="632"/>
      <c r="E434" s="1137"/>
      <c r="F434" s="632"/>
      <c r="G434" s="211"/>
      <c r="H434" s="329"/>
      <c r="I434" s="211"/>
      <c r="J434" s="211"/>
      <c r="K434" s="211"/>
      <c r="L434" s="211"/>
      <c r="M434" s="211"/>
      <c r="N434" s="211"/>
      <c r="O434" s="211"/>
      <c r="P434" s="211"/>
      <c r="Q434" s="1136"/>
      <c r="R434" s="211"/>
      <c r="S434" s="211"/>
      <c r="T434" s="211"/>
      <c r="U434" s="659"/>
      <c r="V434" s="646"/>
      <c r="W434" s="317"/>
      <c r="X434" s="317"/>
      <c r="Y434" s="317"/>
      <c r="Z434" s="317"/>
      <c r="AA434" s="1594"/>
      <c r="AB434" s="1594"/>
      <c r="AC434" s="317"/>
      <c r="AD434" s="1594"/>
      <c r="AE434" s="1594"/>
      <c r="AF434" s="1594"/>
      <c r="AG434" s="1594"/>
      <c r="AH434" s="1594"/>
      <c r="AI434" s="1594"/>
      <c r="AJ434" s="1594"/>
      <c r="AK434" s="1594"/>
      <c r="AL434" s="1594"/>
      <c r="AM434" s="534"/>
    </row>
    <row r="435" spans="1:39">
      <c r="A435" s="281"/>
      <c r="B435" s="1137" t="s">
        <v>2022</v>
      </c>
      <c r="C435" s="1137"/>
      <c r="D435" s="632"/>
      <c r="E435" s="1137"/>
      <c r="F435" s="632"/>
      <c r="G435" s="211"/>
      <c r="H435" s="329"/>
      <c r="I435" s="211"/>
      <c r="J435" s="211"/>
      <c r="K435" s="211"/>
      <c r="L435" s="211"/>
      <c r="M435" s="211"/>
      <c r="N435" s="211"/>
      <c r="O435" s="211"/>
      <c r="P435" s="211"/>
      <c r="Q435" s="1136"/>
      <c r="R435" s="211"/>
      <c r="S435" s="211"/>
      <c r="T435" s="211"/>
      <c r="U435" s="659"/>
      <c r="V435" s="646"/>
      <c r="W435" s="317"/>
      <c r="X435" s="317"/>
      <c r="Y435" s="317"/>
      <c r="Z435" s="317"/>
      <c r="AA435" s="1594"/>
      <c r="AB435" s="1594"/>
      <c r="AC435" s="317"/>
      <c r="AD435" s="1594"/>
      <c r="AE435" s="1594"/>
      <c r="AF435" s="1594"/>
      <c r="AG435" s="1594"/>
      <c r="AH435" s="1594"/>
      <c r="AI435" s="1594"/>
      <c r="AJ435" s="1594"/>
      <c r="AK435" s="1594"/>
      <c r="AL435" s="1594"/>
      <c r="AM435" s="534"/>
    </row>
    <row r="436" spans="1:39">
      <c r="A436" s="281"/>
      <c r="B436" s="1137" t="s">
        <v>2046</v>
      </c>
      <c r="C436" s="1137"/>
      <c r="D436" s="632"/>
      <c r="E436" s="1137"/>
      <c r="F436" s="632"/>
      <c r="G436" s="211"/>
      <c r="H436" s="329"/>
      <c r="I436" s="211"/>
      <c r="J436" s="211"/>
      <c r="K436" s="211"/>
      <c r="L436" s="211"/>
      <c r="M436" s="211"/>
      <c r="N436" s="211"/>
      <c r="O436" s="211"/>
      <c r="P436" s="211"/>
      <c r="Q436" s="1136"/>
      <c r="R436" s="211"/>
      <c r="S436" s="211"/>
      <c r="T436" s="211"/>
      <c r="U436" s="659"/>
      <c r="V436" s="646"/>
      <c r="W436" s="317"/>
      <c r="X436" s="317"/>
      <c r="Y436" s="317"/>
      <c r="Z436" s="317"/>
      <c r="AA436" s="1594"/>
      <c r="AB436" s="1594"/>
      <c r="AC436" s="317"/>
      <c r="AD436" s="1594"/>
      <c r="AE436" s="1594"/>
      <c r="AF436" s="1594"/>
      <c r="AG436" s="1594"/>
      <c r="AH436" s="1594"/>
      <c r="AI436" s="1594"/>
      <c r="AJ436" s="1594"/>
      <c r="AK436" s="1594"/>
      <c r="AL436" s="1594"/>
      <c r="AM436" s="534"/>
    </row>
    <row r="437" spans="1:39">
      <c r="A437" s="281"/>
      <c r="B437" s="1594" t="s">
        <v>2501</v>
      </c>
      <c r="C437" s="1594"/>
      <c r="D437" s="213"/>
      <c r="E437" s="1594"/>
      <c r="F437" s="213">
        <v>-144752.46</v>
      </c>
      <c r="G437" s="211"/>
      <c r="H437" s="329"/>
      <c r="I437" s="211"/>
      <c r="J437" s="211"/>
      <c r="K437" s="211"/>
      <c r="L437" s="211"/>
      <c r="M437" s="211"/>
      <c r="N437" s="211"/>
      <c r="O437" s="211"/>
      <c r="P437" s="211"/>
      <c r="Q437" s="1138">
        <v>-2631.07</v>
      </c>
      <c r="R437" s="211"/>
      <c r="S437" s="211"/>
      <c r="T437" s="211"/>
      <c r="U437" s="659">
        <v>0</v>
      </c>
      <c r="V437" s="646"/>
      <c r="W437" s="317"/>
      <c r="X437" s="317"/>
      <c r="Y437" s="317"/>
      <c r="Z437" s="317"/>
      <c r="AA437" s="1594"/>
      <c r="AB437" s="1594"/>
      <c r="AC437" s="317"/>
      <c r="AD437" s="1594"/>
      <c r="AE437" s="1594"/>
      <c r="AF437" s="1594"/>
      <c r="AG437" s="1594"/>
      <c r="AH437" s="1594"/>
      <c r="AI437" s="1594"/>
      <c r="AJ437" s="1594"/>
      <c r="AK437" s="1594"/>
      <c r="AL437" s="1594"/>
      <c r="AM437" s="534"/>
    </row>
    <row r="438" spans="1:39">
      <c r="A438" s="281"/>
      <c r="B438" s="1594" t="s">
        <v>2785</v>
      </c>
      <c r="C438" s="1594"/>
      <c r="D438" s="213"/>
      <c r="E438" s="1594"/>
      <c r="F438" s="213">
        <v>64727</v>
      </c>
      <c r="G438" s="211"/>
      <c r="H438" s="329"/>
      <c r="I438" s="211"/>
      <c r="J438" s="211"/>
      <c r="K438" s="211"/>
      <c r="L438" s="211"/>
      <c r="M438" s="211"/>
      <c r="N438" s="211"/>
      <c r="O438" s="211"/>
      <c r="P438" s="211"/>
      <c r="Q438" s="1138">
        <v>-108167.39</v>
      </c>
      <c r="R438" s="211"/>
      <c r="S438" s="211"/>
      <c r="T438" s="211"/>
      <c r="U438" s="659">
        <v>0</v>
      </c>
      <c r="V438" s="646"/>
      <c r="W438" s="317"/>
      <c r="X438" s="317"/>
      <c r="Y438" s="317"/>
      <c r="Z438" s="317"/>
      <c r="AA438" s="1594"/>
      <c r="AB438" s="1594"/>
      <c r="AC438" s="317"/>
      <c r="AD438" s="1594"/>
      <c r="AE438" s="1594"/>
      <c r="AF438" s="1594"/>
      <c r="AG438" s="1594"/>
      <c r="AH438" s="1594"/>
      <c r="AI438" s="1594"/>
      <c r="AJ438" s="1594"/>
      <c r="AK438" s="1594"/>
      <c r="AL438" s="1594"/>
      <c r="AM438" s="534"/>
    </row>
    <row r="439" spans="1:39">
      <c r="A439" s="281"/>
      <c r="B439" s="1594" t="s">
        <v>1741</v>
      </c>
      <c r="C439" s="1594"/>
      <c r="D439" s="213"/>
      <c r="E439" s="1594"/>
      <c r="F439" s="213"/>
      <c r="G439" s="211"/>
      <c r="H439" s="329"/>
      <c r="I439" s="211"/>
      <c r="J439" s="211"/>
      <c r="K439" s="211"/>
      <c r="L439" s="211"/>
      <c r="M439" s="211"/>
      <c r="N439" s="211"/>
      <c r="O439" s="211"/>
      <c r="P439" s="211"/>
      <c r="Q439" s="1138">
        <v>1412.9</v>
      </c>
      <c r="R439" s="211"/>
      <c r="S439" s="211"/>
      <c r="T439" s="211"/>
      <c r="U439" s="659">
        <v>0</v>
      </c>
      <c r="V439" s="646"/>
      <c r="W439" s="317"/>
      <c r="X439" s="317"/>
      <c r="Y439" s="317"/>
      <c r="Z439" s="317"/>
      <c r="AA439" s="1594"/>
      <c r="AB439" s="1594"/>
      <c r="AC439" s="317"/>
      <c r="AD439" s="1594"/>
      <c r="AE439" s="1594"/>
      <c r="AF439" s="1594"/>
      <c r="AG439" s="1594"/>
      <c r="AH439" s="1594"/>
      <c r="AI439" s="1594"/>
      <c r="AJ439" s="1594"/>
      <c r="AK439" s="1594"/>
      <c r="AL439" s="1594"/>
      <c r="AM439" s="534"/>
    </row>
    <row r="440" spans="1:39">
      <c r="A440" s="281"/>
      <c r="B440" s="1594" t="s">
        <v>1742</v>
      </c>
      <c r="C440" s="1594"/>
      <c r="D440" s="213"/>
      <c r="E440" s="1594"/>
      <c r="F440" s="213"/>
      <c r="G440" s="211"/>
      <c r="H440" s="329"/>
      <c r="I440" s="211"/>
      <c r="J440" s="211"/>
      <c r="K440" s="211"/>
      <c r="L440" s="211"/>
      <c r="M440" s="211"/>
      <c r="N440" s="211"/>
      <c r="O440" s="211"/>
      <c r="P440" s="211"/>
      <c r="Q440" s="1138">
        <v>-1066585.6000000001</v>
      </c>
      <c r="R440" s="211"/>
      <c r="S440" s="211"/>
      <c r="T440" s="211"/>
      <c r="U440" s="659">
        <v>0</v>
      </c>
      <c r="V440" s="646"/>
      <c r="W440" s="317"/>
      <c r="X440" s="317"/>
      <c r="Y440" s="317"/>
      <c r="Z440" s="317"/>
      <c r="AA440" s="1594"/>
      <c r="AB440" s="1594"/>
      <c r="AC440" s="317"/>
      <c r="AD440" s="1594"/>
      <c r="AE440" s="1594"/>
      <c r="AF440" s="1594"/>
      <c r="AG440" s="1594"/>
      <c r="AH440" s="1594"/>
      <c r="AI440" s="1594"/>
      <c r="AJ440" s="1594"/>
      <c r="AK440" s="1594"/>
      <c r="AL440" s="1594"/>
      <c r="AM440" s="534"/>
    </row>
    <row r="441" spans="1:39">
      <c r="A441" s="281"/>
      <c r="B441" s="1594" t="s">
        <v>1744</v>
      </c>
      <c r="C441" s="1594"/>
      <c r="D441" s="213"/>
      <c r="E441" s="1594"/>
      <c r="F441" s="213"/>
      <c r="G441" s="211"/>
      <c r="H441" s="329"/>
      <c r="I441" s="211"/>
      <c r="J441" s="211"/>
      <c r="K441" s="211"/>
      <c r="L441" s="211"/>
      <c r="M441" s="211"/>
      <c r="N441" s="211"/>
      <c r="O441" s="211"/>
      <c r="P441" s="211"/>
      <c r="Q441" s="1138">
        <v>2584133</v>
      </c>
      <c r="R441" s="211"/>
      <c r="S441" s="211"/>
      <c r="T441" s="211"/>
      <c r="U441" s="659">
        <v>0</v>
      </c>
      <c r="V441" s="646"/>
      <c r="W441" s="317"/>
      <c r="X441" s="317"/>
      <c r="Y441" s="317"/>
      <c r="Z441" s="317"/>
      <c r="AA441" s="1594"/>
      <c r="AB441" s="1594"/>
      <c r="AC441" s="317"/>
      <c r="AD441" s="1594"/>
      <c r="AE441" s="1594"/>
      <c r="AF441" s="1594"/>
      <c r="AG441" s="1594"/>
      <c r="AH441" s="1594"/>
      <c r="AI441" s="1594"/>
      <c r="AJ441" s="1594"/>
      <c r="AK441" s="1594"/>
      <c r="AL441" s="1594"/>
      <c r="AM441" s="534"/>
    </row>
    <row r="442" spans="1:39">
      <c r="A442" s="281"/>
      <c r="B442" s="1594" t="s">
        <v>2897</v>
      </c>
      <c r="C442" s="1594"/>
      <c r="D442" s="213"/>
      <c r="E442" s="1594"/>
      <c r="F442" s="213">
        <v>-38699.24</v>
      </c>
      <c r="G442" s="211"/>
      <c r="H442" s="329"/>
      <c r="I442" s="211"/>
      <c r="J442" s="211"/>
      <c r="K442" s="211"/>
      <c r="L442" s="211"/>
      <c r="M442" s="211"/>
      <c r="N442" s="211"/>
      <c r="O442" s="211"/>
      <c r="P442" s="211"/>
      <c r="Q442" s="1138"/>
      <c r="R442" s="211"/>
      <c r="S442" s="211"/>
      <c r="T442" s="211"/>
      <c r="U442" s="659"/>
      <c r="V442" s="646"/>
      <c r="W442" s="317"/>
      <c r="X442" s="317"/>
      <c r="Y442" s="317"/>
      <c r="Z442" s="317"/>
      <c r="AA442" s="1594"/>
      <c r="AB442" s="1594"/>
      <c r="AC442" s="317"/>
      <c r="AD442" s="1594"/>
      <c r="AE442" s="1594"/>
      <c r="AF442" s="1594"/>
      <c r="AG442" s="1594"/>
      <c r="AH442" s="1594"/>
      <c r="AI442" s="1594"/>
      <c r="AJ442" s="1594"/>
      <c r="AK442" s="1594"/>
      <c r="AL442" s="1594"/>
      <c r="AM442" s="534"/>
    </row>
    <row r="443" spans="1:39">
      <c r="A443" s="281"/>
      <c r="B443" s="1594" t="s">
        <v>2895</v>
      </c>
      <c r="C443" s="1594"/>
      <c r="D443" s="213"/>
      <c r="E443" s="1594"/>
      <c r="F443" s="213">
        <v>1069273.83</v>
      </c>
      <c r="G443" s="211"/>
      <c r="H443" s="329"/>
      <c r="I443" s="211"/>
      <c r="J443" s="211"/>
      <c r="K443" s="211"/>
      <c r="L443" s="211"/>
      <c r="M443" s="211"/>
      <c r="N443" s="211"/>
      <c r="O443" s="211"/>
      <c r="P443" s="211"/>
      <c r="Q443" s="1138"/>
      <c r="R443" s="211"/>
      <c r="S443" s="211"/>
      <c r="T443" s="211"/>
      <c r="U443" s="659"/>
      <c r="V443" s="646"/>
      <c r="W443" s="317"/>
      <c r="X443" s="317"/>
      <c r="Y443" s="317"/>
      <c r="Z443" s="317"/>
      <c r="AA443" s="1594"/>
      <c r="AB443" s="1594"/>
      <c r="AC443" s="317"/>
      <c r="AD443" s="1594"/>
      <c r="AE443" s="1594"/>
      <c r="AF443" s="1594"/>
      <c r="AG443" s="1594"/>
      <c r="AH443" s="1594"/>
      <c r="AI443" s="1594"/>
      <c r="AJ443" s="1594"/>
      <c r="AK443" s="1594"/>
      <c r="AL443" s="1594"/>
      <c r="AM443" s="534"/>
    </row>
    <row r="444" spans="1:39">
      <c r="A444" s="281"/>
      <c r="B444" s="1594" t="s">
        <v>2786</v>
      </c>
      <c r="C444" s="1594"/>
      <c r="D444" s="213"/>
      <c r="E444" s="1594"/>
      <c r="F444" s="213">
        <v>2843328</v>
      </c>
      <c r="G444" s="211"/>
      <c r="H444" s="329"/>
      <c r="I444" s="211"/>
      <c r="J444" s="211"/>
      <c r="K444" s="211"/>
      <c r="L444" s="211"/>
      <c r="M444" s="211"/>
      <c r="N444" s="211"/>
      <c r="O444" s="211"/>
      <c r="P444" s="211"/>
      <c r="Q444" s="1138">
        <v>-3629994</v>
      </c>
      <c r="R444" s="211"/>
      <c r="S444" s="211"/>
      <c r="T444" s="211"/>
      <c r="U444" s="659">
        <v>0</v>
      </c>
      <c r="V444" s="646"/>
      <c r="W444" s="317"/>
      <c r="X444" s="317"/>
      <c r="Y444" s="317"/>
      <c r="Z444" s="317"/>
      <c r="AA444" s="1594"/>
      <c r="AB444" s="1594"/>
      <c r="AC444" s="317"/>
      <c r="AD444" s="1594"/>
      <c r="AE444" s="1594"/>
      <c r="AF444" s="1594"/>
      <c r="AG444" s="1594"/>
      <c r="AH444" s="1594"/>
      <c r="AI444" s="1594"/>
      <c r="AJ444" s="1594"/>
      <c r="AK444" s="1594"/>
      <c r="AL444" s="1594"/>
      <c r="AM444" s="534"/>
    </row>
    <row r="445" spans="1:39" ht="13.5" thickBot="1">
      <c r="A445" s="281"/>
      <c r="B445" s="1594" t="s">
        <v>1745</v>
      </c>
      <c r="C445" s="1594"/>
      <c r="D445" s="338"/>
      <c r="E445" s="1594"/>
      <c r="F445" s="338"/>
      <c r="G445" s="211"/>
      <c r="H445" s="329"/>
      <c r="I445" s="211"/>
      <c r="J445" s="211"/>
      <c r="K445" s="211"/>
      <c r="L445" s="211"/>
      <c r="M445" s="211"/>
      <c r="N445" s="211"/>
      <c r="O445" s="211"/>
      <c r="P445" s="211"/>
      <c r="Q445" s="1139">
        <v>25566</v>
      </c>
      <c r="R445" s="211"/>
      <c r="S445" s="211"/>
      <c r="T445" s="211"/>
      <c r="U445" s="660">
        <v>0</v>
      </c>
      <c r="V445" s="646"/>
      <c r="W445" s="317"/>
      <c r="X445" s="317"/>
      <c r="Y445" s="317"/>
      <c r="Z445" s="317"/>
      <c r="AA445" s="1594"/>
      <c r="AB445" s="1594"/>
      <c r="AC445" s="317"/>
      <c r="AD445" s="1594"/>
      <c r="AE445" s="1594"/>
      <c r="AF445" s="1594"/>
      <c r="AG445" s="1594"/>
      <c r="AH445" s="1594"/>
      <c r="AI445" s="1594"/>
      <c r="AJ445" s="1594"/>
      <c r="AK445" s="1594"/>
      <c r="AL445" s="1594"/>
      <c r="AM445" s="534"/>
    </row>
    <row r="446" spans="1:39">
      <c r="A446" s="281"/>
      <c r="B446" s="1594"/>
      <c r="C446" s="1594"/>
      <c r="D446" s="317"/>
      <c r="E446" s="1594"/>
      <c r="F446" s="317"/>
      <c r="G446" s="211"/>
      <c r="H446" s="329"/>
      <c r="I446" s="211"/>
      <c r="J446" s="211"/>
      <c r="K446" s="211"/>
      <c r="L446" s="211"/>
      <c r="M446" s="211"/>
      <c r="N446" s="211"/>
      <c r="O446" s="211"/>
      <c r="P446" s="211"/>
      <c r="Q446" s="317"/>
      <c r="R446" s="211"/>
      <c r="S446" s="211"/>
      <c r="T446" s="211"/>
      <c r="U446" s="657"/>
      <c r="V446" s="646"/>
      <c r="W446" s="317"/>
      <c r="X446" s="317"/>
      <c r="Y446" s="317"/>
      <c r="Z446" s="317"/>
      <c r="AA446" s="1594"/>
      <c r="AB446" s="1594"/>
      <c r="AC446" s="317"/>
      <c r="AD446" s="1594"/>
      <c r="AE446" s="1594"/>
      <c r="AF446" s="1594"/>
      <c r="AG446" s="1594"/>
      <c r="AH446" s="1594"/>
      <c r="AI446" s="1594"/>
      <c r="AJ446" s="1594"/>
      <c r="AK446" s="1594"/>
      <c r="AL446" s="1594"/>
      <c r="AM446" s="534"/>
    </row>
    <row r="447" spans="1:39" ht="13.5" thickBot="1">
      <c r="A447" s="281"/>
      <c r="B447" s="135" t="s">
        <v>1756</v>
      </c>
      <c r="C447" s="135"/>
      <c r="D447" s="143">
        <f>SUM(D424:D445)</f>
        <v>0</v>
      </c>
      <c r="E447" s="135"/>
      <c r="F447" s="143">
        <f>SUM(F424:F445)</f>
        <v>5211617.58</v>
      </c>
      <c r="G447" s="211"/>
      <c r="H447" s="329"/>
      <c r="I447" s="211"/>
      <c r="J447" s="211"/>
      <c r="K447" s="211"/>
      <c r="L447" s="211"/>
      <c r="M447" s="211"/>
      <c r="N447" s="211"/>
      <c r="O447" s="211"/>
      <c r="P447" s="211"/>
      <c r="Q447" s="1140">
        <f>Q422</f>
        <v>-1488298.77</v>
      </c>
      <c r="R447" s="211"/>
      <c r="S447" s="211"/>
      <c r="T447" s="211"/>
      <c r="U447" s="661">
        <v>0</v>
      </c>
      <c r="V447" s="646"/>
      <c r="W447" s="317"/>
      <c r="X447" s="317"/>
      <c r="Y447" s="317"/>
      <c r="Z447" s="317"/>
      <c r="AA447" s="1594"/>
      <c r="AB447" s="1594"/>
      <c r="AC447" s="317"/>
      <c r="AD447" s="1594"/>
      <c r="AE447" s="1594"/>
      <c r="AF447" s="1594"/>
      <c r="AG447" s="1594"/>
      <c r="AH447" s="1594"/>
      <c r="AI447" s="1594"/>
      <c r="AJ447" s="1594"/>
      <c r="AK447" s="1594"/>
      <c r="AL447" s="1594"/>
      <c r="AM447" s="534"/>
    </row>
    <row r="448" spans="1:39" ht="13.5" thickTop="1">
      <c r="A448" s="1584"/>
      <c r="B448" s="135"/>
      <c r="C448" s="135"/>
      <c r="D448" s="136"/>
      <c r="E448" s="135"/>
      <c r="F448" s="136"/>
      <c r="G448" s="1594"/>
      <c r="Q448" s="1141"/>
      <c r="R448" s="1594"/>
      <c r="S448" s="1594"/>
      <c r="T448" s="1594"/>
      <c r="U448" s="662"/>
      <c r="V448" s="499"/>
      <c r="W448" s="317"/>
      <c r="X448" s="317"/>
      <c r="Y448" s="317"/>
      <c r="Z448" s="317"/>
      <c r="AA448" s="1594"/>
      <c r="AB448" s="1594"/>
      <c r="AC448" s="317"/>
      <c r="AD448" s="1594"/>
      <c r="AE448" s="1594"/>
      <c r="AF448" s="1594"/>
      <c r="AG448" s="1594"/>
      <c r="AH448" s="1594"/>
      <c r="AI448" s="1594"/>
      <c r="AJ448" s="1594"/>
      <c r="AK448" s="1594"/>
      <c r="AL448" s="1594"/>
      <c r="AM448" s="534"/>
    </row>
    <row r="449" spans="1:39">
      <c r="A449" s="279"/>
      <c r="B449" s="1142"/>
      <c r="C449" s="1142"/>
      <c r="D449" s="134"/>
      <c r="E449" s="1142"/>
      <c r="F449" s="134"/>
      <c r="G449" s="314"/>
      <c r="Q449" s="1141"/>
      <c r="R449" s="1594"/>
      <c r="S449" s="1594"/>
      <c r="T449" s="1594"/>
      <c r="U449" s="662"/>
      <c r="V449" s="499"/>
      <c r="W449" s="317"/>
      <c r="X449" s="317"/>
      <c r="Y449" s="317"/>
      <c r="Z449" s="317"/>
      <c r="AA449" s="1594"/>
      <c r="AB449" s="1594"/>
      <c r="AC449" s="317"/>
      <c r="AD449" s="1594"/>
      <c r="AE449" s="1594"/>
      <c r="AF449" s="1594"/>
      <c r="AG449" s="1594"/>
      <c r="AH449" s="1594"/>
      <c r="AI449" s="1594"/>
      <c r="AJ449" s="1594"/>
      <c r="AK449" s="1594"/>
      <c r="AL449" s="1594"/>
      <c r="AM449" s="534"/>
    </row>
    <row r="450" spans="1:39">
      <c r="A450" s="1584"/>
      <c r="B450" s="135"/>
      <c r="C450" s="135"/>
      <c r="D450" s="136"/>
      <c r="E450" s="135"/>
      <c r="F450" s="136"/>
      <c r="G450" s="1594"/>
      <c r="Q450" s="1141"/>
      <c r="R450" s="1594"/>
      <c r="S450" s="1594"/>
      <c r="T450" s="1594"/>
      <c r="U450" s="662"/>
      <c r="V450" s="499"/>
      <c r="W450" s="317"/>
      <c r="X450" s="317"/>
      <c r="Y450" s="317"/>
      <c r="Z450" s="317"/>
      <c r="AA450" s="1594"/>
      <c r="AB450" s="1594"/>
      <c r="AC450" s="317"/>
      <c r="AD450" s="1594"/>
      <c r="AE450" s="1594"/>
      <c r="AF450" s="1594"/>
      <c r="AG450" s="1594"/>
      <c r="AH450" s="1594"/>
      <c r="AI450" s="1594"/>
      <c r="AJ450" s="1594"/>
      <c r="AK450" s="1594"/>
      <c r="AL450" s="1594"/>
      <c r="AM450" s="534"/>
    </row>
    <row r="451" spans="1:39">
      <c r="A451" s="1584">
        <v>34</v>
      </c>
      <c r="B451" s="141" t="s">
        <v>2149</v>
      </c>
      <c r="C451" s="135"/>
      <c r="D451" s="140" t="s">
        <v>2077</v>
      </c>
      <c r="E451" s="1594"/>
      <c r="F451" s="140" t="s">
        <v>1796</v>
      </c>
      <c r="G451" s="1594"/>
      <c r="Q451" s="1141"/>
      <c r="R451" s="1594"/>
      <c r="S451" s="1594"/>
      <c r="T451" s="1594"/>
      <c r="U451" s="662"/>
      <c r="V451" s="499"/>
      <c r="W451" s="317"/>
      <c r="X451" s="317"/>
      <c r="Y451" s="317"/>
      <c r="Z451" s="317"/>
      <c r="AA451" s="1594"/>
      <c r="AB451" s="1594"/>
      <c r="AC451" s="317"/>
      <c r="AD451" s="1594"/>
      <c r="AE451" s="1594"/>
      <c r="AF451" s="1594"/>
      <c r="AG451" s="1594"/>
      <c r="AH451" s="1594"/>
      <c r="AI451" s="1594"/>
      <c r="AJ451" s="1594"/>
      <c r="AK451" s="1594"/>
      <c r="AL451" s="1594"/>
      <c r="AM451" s="534"/>
    </row>
    <row r="452" spans="1:39">
      <c r="A452" s="1584"/>
      <c r="B452" s="141"/>
      <c r="C452" s="135"/>
      <c r="D452" s="136"/>
      <c r="E452" s="135"/>
      <c r="F452" s="136"/>
      <c r="G452" s="1594"/>
      <c r="Q452" s="1141"/>
      <c r="R452" s="1594"/>
      <c r="S452" s="1594"/>
      <c r="T452" s="1594"/>
      <c r="U452" s="662"/>
      <c r="V452" s="499"/>
      <c r="W452" s="317"/>
      <c r="X452" s="317"/>
      <c r="Y452" s="317"/>
      <c r="Z452" s="317"/>
      <c r="AA452" s="1594"/>
      <c r="AB452" s="1594"/>
      <c r="AC452" s="317"/>
      <c r="AD452" s="1594"/>
      <c r="AE452" s="1594"/>
      <c r="AF452" s="1594"/>
      <c r="AG452" s="1594"/>
      <c r="AH452" s="1594"/>
      <c r="AI452" s="1594"/>
      <c r="AJ452" s="1594"/>
      <c r="AK452" s="1594"/>
      <c r="AL452" s="1594"/>
      <c r="AM452" s="534"/>
    </row>
    <row r="453" spans="1:39" ht="51">
      <c r="A453" s="1584"/>
      <c r="B453" s="639" t="s">
        <v>2150</v>
      </c>
      <c r="C453" s="135"/>
      <c r="D453" s="136"/>
      <c r="E453" s="135"/>
      <c r="F453" s="136"/>
      <c r="G453" s="1594"/>
      <c r="Q453" s="1141"/>
      <c r="R453" s="1594"/>
      <c r="S453" s="1594"/>
      <c r="T453" s="1594"/>
      <c r="U453" s="662"/>
      <c r="V453" s="499"/>
      <c r="W453" s="317"/>
      <c r="X453" s="317"/>
      <c r="Y453" s="317"/>
      <c r="Z453" s="317"/>
      <c r="AA453" s="1594"/>
      <c r="AB453" s="1594"/>
      <c r="AC453" s="317"/>
      <c r="AD453" s="1594"/>
      <c r="AE453" s="1594"/>
      <c r="AF453" s="1594"/>
      <c r="AG453" s="1594"/>
      <c r="AH453" s="1594"/>
      <c r="AI453" s="1594"/>
      <c r="AJ453" s="1594"/>
      <c r="AK453" s="1594"/>
      <c r="AL453" s="1594"/>
      <c r="AM453" s="534"/>
    </row>
    <row r="454" spans="1:39">
      <c r="A454" s="1584"/>
      <c r="B454" s="639" t="s">
        <v>364</v>
      </c>
      <c r="C454" s="135"/>
      <c r="D454" s="136"/>
      <c r="E454" s="135"/>
      <c r="F454" s="136"/>
      <c r="G454" s="1594"/>
      <c r="Q454" s="1141"/>
      <c r="R454" s="1594"/>
      <c r="S454" s="1594"/>
      <c r="T454" s="1594"/>
      <c r="U454" s="662"/>
      <c r="V454" s="499"/>
      <c r="W454" s="317"/>
      <c r="X454" s="317"/>
      <c r="Y454" s="317"/>
      <c r="Z454" s="317"/>
      <c r="AA454" s="1594"/>
      <c r="AB454" s="1594"/>
      <c r="AC454" s="317"/>
      <c r="AD454" s="1594"/>
      <c r="AE454" s="1594"/>
      <c r="AF454" s="1594"/>
      <c r="AG454" s="1594"/>
      <c r="AH454" s="1594"/>
      <c r="AI454" s="1594"/>
      <c r="AJ454" s="1594"/>
      <c r="AK454" s="1594"/>
      <c r="AL454" s="1594"/>
      <c r="AM454" s="534"/>
    </row>
    <row r="455" spans="1:39">
      <c r="A455" s="1584"/>
      <c r="B455" s="135"/>
      <c r="C455" s="135"/>
      <c r="D455" s="136"/>
      <c r="E455" s="135"/>
      <c r="F455" s="136"/>
      <c r="G455" s="1594"/>
      <c r="Q455" s="1141"/>
      <c r="R455" s="1594"/>
      <c r="S455" s="1594"/>
      <c r="T455" s="1594"/>
      <c r="U455" s="662"/>
      <c r="V455" s="499"/>
      <c r="W455" s="317"/>
      <c r="X455" s="317"/>
      <c r="Y455" s="317"/>
      <c r="Z455" s="317"/>
      <c r="AA455" s="1594"/>
      <c r="AB455" s="1594"/>
      <c r="AC455" s="317"/>
      <c r="AD455" s="1594"/>
      <c r="AE455" s="1594"/>
      <c r="AF455" s="1594"/>
      <c r="AG455" s="1594"/>
      <c r="AH455" s="1594"/>
      <c r="AI455" s="1594"/>
      <c r="AJ455" s="1594"/>
      <c r="AK455" s="1594"/>
      <c r="AL455" s="1594"/>
      <c r="AM455" s="534"/>
    </row>
    <row r="456" spans="1:39">
      <c r="A456" s="1584"/>
      <c r="B456" s="135"/>
      <c r="C456" s="135"/>
      <c r="D456" s="136"/>
      <c r="E456" s="135"/>
      <c r="F456" s="136"/>
      <c r="G456" s="1594"/>
      <c r="Q456" s="1141"/>
      <c r="R456" s="1594"/>
      <c r="S456" s="1594"/>
      <c r="T456" s="1594"/>
      <c r="U456" s="227"/>
      <c r="V456" s="499"/>
      <c r="W456" s="317"/>
      <c r="X456" s="317"/>
      <c r="Y456" s="317"/>
      <c r="Z456" s="317"/>
      <c r="AA456" s="1594"/>
      <c r="AB456" s="1594"/>
      <c r="AC456" s="317"/>
      <c r="AD456" s="1594"/>
      <c r="AE456" s="1594"/>
      <c r="AF456" s="1594"/>
      <c r="AG456" s="1594"/>
      <c r="AH456" s="1594"/>
      <c r="AI456" s="1594"/>
      <c r="AJ456" s="1594"/>
      <c r="AK456" s="1594"/>
      <c r="AL456" s="1594"/>
      <c r="AM456" s="534"/>
    </row>
    <row r="457" spans="1:39">
      <c r="A457" s="280"/>
      <c r="B457" s="321"/>
      <c r="C457" s="321"/>
      <c r="D457" s="322"/>
      <c r="E457" s="321"/>
      <c r="F457" s="322"/>
      <c r="G457" s="321"/>
      <c r="Q457" s="663"/>
      <c r="R457" s="321"/>
      <c r="S457" s="321"/>
      <c r="T457" s="321"/>
      <c r="U457" s="664"/>
      <c r="V457" s="623"/>
      <c r="W457" s="317"/>
      <c r="X457" s="317"/>
      <c r="Y457" s="317"/>
      <c r="Z457" s="317"/>
      <c r="AA457" s="1594"/>
      <c r="AB457" s="1594"/>
      <c r="AC457" s="317"/>
      <c r="AD457" s="1594"/>
      <c r="AE457" s="1594"/>
      <c r="AF457" s="1594"/>
      <c r="AG457" s="1594"/>
      <c r="AH457" s="1594"/>
      <c r="AI457" s="1594"/>
      <c r="AJ457" s="1594"/>
      <c r="AK457" s="1594"/>
      <c r="AL457" s="1594"/>
      <c r="AM457" s="534"/>
    </row>
    <row r="458" spans="1:39">
      <c r="A458" s="1589">
        <v>35</v>
      </c>
      <c r="B458" s="142" t="s">
        <v>1152</v>
      </c>
      <c r="C458" s="1585"/>
      <c r="D458" s="140" t="s">
        <v>2077</v>
      </c>
      <c r="E458" s="1585"/>
      <c r="F458" s="140" t="s">
        <v>1796</v>
      </c>
      <c r="G458" s="1585"/>
      <c r="H458" s="184"/>
      <c r="I458" s="1585"/>
      <c r="J458" s="1585"/>
      <c r="K458" s="1585"/>
      <c r="L458" s="1585"/>
      <c r="M458" s="1585"/>
      <c r="N458" s="1585"/>
      <c r="O458" s="1585"/>
      <c r="P458" s="1585"/>
      <c r="Q458" s="276" t="s">
        <v>1452</v>
      </c>
      <c r="R458" s="1585"/>
      <c r="S458" s="1585"/>
      <c r="T458" s="1585"/>
      <c r="U458" s="225" t="s">
        <v>1036</v>
      </c>
      <c r="V458" s="1586"/>
      <c r="W458" s="317"/>
      <c r="X458" s="317"/>
      <c r="Y458" s="317"/>
      <c r="Z458" s="317"/>
      <c r="AA458" s="1594"/>
      <c r="AB458" s="1594"/>
      <c r="AC458" s="317"/>
      <c r="AD458" s="1594"/>
      <c r="AE458" s="1594"/>
      <c r="AF458" s="1594"/>
      <c r="AG458" s="1594"/>
      <c r="AH458" s="1594"/>
      <c r="AI458" s="1594"/>
      <c r="AJ458" s="1594"/>
      <c r="AK458" s="1594"/>
      <c r="AL458" s="1594"/>
      <c r="AM458" s="534"/>
    </row>
    <row r="459" spans="1:39">
      <c r="A459" s="554"/>
      <c r="B459" s="1585"/>
      <c r="C459" s="1585"/>
      <c r="D459" s="1191"/>
      <c r="E459" s="1585"/>
      <c r="F459" s="1191"/>
      <c r="G459" s="1585"/>
      <c r="H459" s="184"/>
      <c r="I459" s="1585"/>
      <c r="J459" s="1585"/>
      <c r="K459" s="1585"/>
      <c r="L459" s="1585"/>
      <c r="M459" s="1585"/>
      <c r="N459" s="1585"/>
      <c r="O459" s="1585"/>
      <c r="P459" s="1585"/>
      <c r="Q459" s="1191" t="s">
        <v>1314</v>
      </c>
      <c r="R459" s="1585"/>
      <c r="S459" s="1585"/>
      <c r="T459" s="1585"/>
      <c r="U459" s="226" t="s">
        <v>1314</v>
      </c>
      <c r="V459" s="1586"/>
      <c r="W459" s="317"/>
      <c r="X459" s="317"/>
      <c r="Y459" s="317"/>
      <c r="Z459" s="317"/>
      <c r="AA459" s="1594"/>
      <c r="AB459" s="1594"/>
      <c r="AC459" s="317"/>
      <c r="AD459" s="1594"/>
      <c r="AE459" s="1594"/>
      <c r="AF459" s="1594"/>
      <c r="AG459" s="1594"/>
      <c r="AH459" s="1594"/>
      <c r="AI459" s="1594"/>
      <c r="AJ459" s="1594"/>
      <c r="AK459" s="1594"/>
      <c r="AL459" s="1594"/>
      <c r="AM459" s="534"/>
    </row>
    <row r="460" spans="1:39">
      <c r="A460" s="1584"/>
      <c r="B460" s="142" t="s">
        <v>1384</v>
      </c>
      <c r="C460" s="142"/>
      <c r="D460" s="214">
        <f>'Statement of Financial Performa'!F60</f>
        <v>15198325.659999982</v>
      </c>
      <c r="E460" s="142"/>
      <c r="F460" s="182">
        <f>'Statement of Financial Performa'!H60+1</f>
        <v>-14841359.20000001</v>
      </c>
      <c r="G460" s="142"/>
      <c r="H460" s="187"/>
      <c r="I460" s="142"/>
      <c r="J460" s="142"/>
      <c r="K460" s="142"/>
      <c r="L460" s="142"/>
      <c r="M460" s="142"/>
      <c r="N460" s="142"/>
      <c r="O460" s="142"/>
      <c r="P460" s="142"/>
      <c r="Q460" s="136" t="e">
        <f>'Statement of Financial Performa'!S60+1</f>
        <v>#REF!</v>
      </c>
      <c r="R460" s="135"/>
      <c r="S460" s="135"/>
      <c r="T460" s="135"/>
      <c r="U460" s="227" t="e">
        <f>'Statement of Financial Performa'!U60</f>
        <v>#REF!</v>
      </c>
      <c r="V460" s="223"/>
      <c r="W460" s="136"/>
      <c r="X460" s="317"/>
      <c r="Y460" s="317"/>
      <c r="Z460" s="317"/>
      <c r="AA460" s="1143"/>
      <c r="AB460" s="1144"/>
      <c r="AC460" s="1145"/>
      <c r="AD460" s="1145"/>
      <c r="AE460" s="1594"/>
      <c r="AF460" s="1594"/>
      <c r="AG460" s="1594"/>
      <c r="AH460" s="1594"/>
      <c r="AI460" s="1594"/>
      <c r="AJ460" s="1594"/>
      <c r="AK460" s="1594"/>
      <c r="AL460" s="1594"/>
      <c r="AM460" s="534"/>
    </row>
    <row r="461" spans="1:39">
      <c r="A461" s="1584"/>
      <c r="B461" s="1595" t="s">
        <v>317</v>
      </c>
      <c r="C461" s="1595"/>
      <c r="D461" s="331"/>
      <c r="E461" s="1595"/>
      <c r="F461" s="331"/>
      <c r="G461" s="1595"/>
      <c r="H461" s="241"/>
      <c r="I461" s="1595"/>
      <c r="J461" s="1595"/>
      <c r="K461" s="1595"/>
      <c r="L461" s="1595"/>
      <c r="M461" s="1595"/>
      <c r="N461" s="1595"/>
      <c r="O461" s="1595"/>
      <c r="P461" s="1595"/>
      <c r="Q461" s="317" t="s">
        <v>36</v>
      </c>
      <c r="R461" s="1594"/>
      <c r="S461" s="1594"/>
      <c r="T461" s="1594"/>
      <c r="U461" s="621"/>
      <c r="V461" s="499"/>
      <c r="W461" s="317"/>
      <c r="X461" s="317"/>
      <c r="Y461" s="317"/>
      <c r="Z461" s="317"/>
      <c r="AA461" s="1143"/>
      <c r="AB461" s="1145"/>
      <c r="AC461" s="1145"/>
      <c r="AD461" s="1145"/>
      <c r="AE461" s="1594"/>
      <c r="AF461" s="1594"/>
      <c r="AG461" s="1594"/>
      <c r="AH461" s="1594"/>
      <c r="AI461" s="1594"/>
      <c r="AJ461" s="1594"/>
      <c r="AK461" s="1594"/>
      <c r="AL461" s="1594"/>
      <c r="AM461" s="534"/>
    </row>
    <row r="462" spans="1:39">
      <c r="A462" s="1584"/>
      <c r="B462" s="1587" t="s">
        <v>1153</v>
      </c>
      <c r="C462" s="1587"/>
      <c r="D462" s="213">
        <f>'Statement of Financial Performa'!F38+'Statement of Financial Performa'!F39</f>
        <v>7137211.4399999995</v>
      </c>
      <c r="E462" s="1587"/>
      <c r="F462" s="213">
        <f>'Statement of Financial Performa'!H38+188</f>
        <v>4948382.830000001</v>
      </c>
      <c r="G462" s="1595"/>
      <c r="H462" s="241"/>
      <c r="I462" s="1595"/>
      <c r="J462" s="1595"/>
      <c r="K462" s="1595"/>
      <c r="L462" s="1595"/>
      <c r="M462" s="1595"/>
      <c r="N462" s="1595"/>
      <c r="O462" s="1595"/>
      <c r="P462" s="1595"/>
      <c r="Q462" s="317">
        <v>6100208</v>
      </c>
      <c r="R462" s="1594"/>
      <c r="S462" s="1594"/>
      <c r="T462" s="1594"/>
      <c r="U462" s="621" t="e">
        <f>'Statement of Financial Performa'!U38</f>
        <v>#REF!</v>
      </c>
      <c r="V462" s="499"/>
      <c r="W462" s="317"/>
      <c r="X462" s="317"/>
      <c r="Y462" s="317"/>
      <c r="Z462" s="317"/>
      <c r="AA462" s="1143"/>
      <c r="AB462" s="1145"/>
      <c r="AC462" s="1145"/>
      <c r="AD462" s="1145"/>
      <c r="AE462" s="1594"/>
      <c r="AF462" s="1594"/>
      <c r="AG462" s="1594"/>
      <c r="AH462" s="1594"/>
      <c r="AI462" s="1594"/>
      <c r="AJ462" s="1594"/>
      <c r="AK462" s="1594"/>
      <c r="AL462" s="1594"/>
      <c r="AM462" s="534"/>
    </row>
    <row r="463" spans="1:39">
      <c r="A463" s="1584"/>
      <c r="B463" s="1587" t="s">
        <v>322</v>
      </c>
      <c r="C463" s="1587"/>
      <c r="D463" s="632">
        <f>-'Statement of Financial Performa'!F22</f>
        <v>-158500</v>
      </c>
      <c r="E463" s="1587"/>
      <c r="F463" s="632">
        <f>-'Statement of Financial Performa'!H22</f>
        <v>-783000</v>
      </c>
      <c r="G463" s="1594"/>
      <c r="Q463" s="317">
        <v>-92998490</v>
      </c>
      <c r="R463" s="1594"/>
      <c r="S463" s="1594"/>
      <c r="T463" s="1594"/>
      <c r="U463" s="621"/>
      <c r="V463" s="499"/>
      <c r="W463" s="317"/>
      <c r="X463" s="317"/>
      <c r="Y463" s="317"/>
      <c r="Z463" s="317"/>
      <c r="AA463" s="1143"/>
      <c r="AB463" s="1145"/>
      <c r="AC463" s="1145"/>
      <c r="AD463" s="1145"/>
      <c r="AE463" s="1594"/>
      <c r="AF463" s="1594"/>
      <c r="AG463" s="1594"/>
      <c r="AH463" s="1594"/>
      <c r="AI463" s="1594"/>
      <c r="AJ463" s="1594"/>
      <c r="AK463" s="1594"/>
      <c r="AL463" s="1594"/>
      <c r="AM463" s="534"/>
    </row>
    <row r="464" spans="1:39">
      <c r="A464" s="1584"/>
      <c r="B464" s="1587" t="s">
        <v>323</v>
      </c>
      <c r="C464" s="1587"/>
      <c r="D464" s="213">
        <f>'Statement of Financial Performa'!F43</f>
        <v>164865</v>
      </c>
      <c r="E464" s="1587"/>
      <c r="F464" s="213">
        <v>1892897</v>
      </c>
      <c r="G464" s="1594"/>
      <c r="Q464" s="317">
        <v>1601483</v>
      </c>
      <c r="R464" s="1594"/>
      <c r="S464" s="1594"/>
      <c r="T464" s="1594"/>
      <c r="U464" s="621" t="e">
        <f>-'Notes 2 - 9'!#REF!</f>
        <v>#REF!</v>
      </c>
      <c r="V464" s="499"/>
      <c r="W464" s="317"/>
      <c r="X464" s="317"/>
      <c r="Y464" s="317"/>
      <c r="Z464" s="317"/>
      <c r="AA464" s="1143"/>
      <c r="AB464" s="1145"/>
      <c r="AC464" s="1145"/>
      <c r="AD464" s="1145"/>
      <c r="AE464" s="1594"/>
      <c r="AF464" s="1594"/>
      <c r="AG464" s="1594"/>
      <c r="AH464" s="1594"/>
      <c r="AI464" s="1594"/>
      <c r="AJ464" s="1594"/>
      <c r="AK464" s="1594"/>
      <c r="AL464" s="1594"/>
      <c r="AM464" s="534"/>
    </row>
    <row r="465" spans="1:39">
      <c r="A465" s="1584"/>
      <c r="B465" s="1587" t="s">
        <v>1154</v>
      </c>
      <c r="C465" s="1587"/>
      <c r="D465" s="213">
        <f>'Statement of Financial Performa'!F36</f>
        <v>3646241.45</v>
      </c>
      <c r="E465" s="1587"/>
      <c r="F465" s="213">
        <f>+'Statement of Financial Performa'!H36</f>
        <v>58520.71</v>
      </c>
      <c r="G465" s="1594"/>
      <c r="Q465" s="317" t="e">
        <f>+'Statement of Financial Performa'!S36</f>
        <v>#REF!</v>
      </c>
      <c r="R465" s="1594"/>
      <c r="S465" s="1594"/>
      <c r="T465" s="1594"/>
      <c r="U465" s="621" t="e">
        <f>'Statement of Financial Performa'!U36</f>
        <v>#REF!</v>
      </c>
      <c r="V465" s="499"/>
      <c r="W465" s="317"/>
      <c r="X465" s="317"/>
      <c r="Y465" s="317"/>
      <c r="Z465" s="317"/>
      <c r="AA465" s="1143"/>
      <c r="AB465" s="1144"/>
      <c r="AC465" s="1144"/>
      <c r="AD465" s="1145"/>
      <c r="AE465" s="1594"/>
      <c r="AF465" s="1594"/>
      <c r="AG465" s="1594"/>
      <c r="AH465" s="1594"/>
      <c r="AI465" s="1594"/>
      <c r="AJ465" s="1594"/>
      <c r="AK465" s="1594"/>
      <c r="AL465" s="1594"/>
      <c r="AM465" s="534"/>
    </row>
    <row r="466" spans="1:39">
      <c r="A466" s="1584"/>
      <c r="B466" s="1587" t="s">
        <v>542</v>
      </c>
      <c r="C466" s="1587"/>
      <c r="D466" s="213">
        <f>-'Statement of Financial Performa'!F26</f>
        <v>-169601.97999999998</v>
      </c>
      <c r="E466" s="1587"/>
      <c r="F466" s="213">
        <f>-'Statement of Financial Performa'!H26</f>
        <v>-67228</v>
      </c>
      <c r="G466" s="1594"/>
      <c r="Q466" s="317" t="e">
        <f>-Q196-Q186</f>
        <v>#REF!</v>
      </c>
      <c r="R466" s="1594"/>
      <c r="S466" s="1594"/>
      <c r="T466" s="1594"/>
      <c r="U466" s="621" t="e">
        <f>-'Statement of Financial Performa'!#REF!</f>
        <v>#REF!</v>
      </c>
      <c r="V466" s="499"/>
      <c r="W466" s="317"/>
      <c r="X466" s="317"/>
      <c r="Y466" s="317"/>
      <c r="Z466" s="317"/>
      <c r="AA466" s="1143"/>
      <c r="AB466" s="1145"/>
      <c r="AC466" s="1145"/>
      <c r="AD466" s="1145"/>
      <c r="AE466" s="1594"/>
      <c r="AF466" s="1594"/>
      <c r="AG466" s="1594"/>
      <c r="AH466" s="1594"/>
      <c r="AI466" s="1594"/>
      <c r="AJ466" s="1594"/>
      <c r="AK466" s="1594"/>
      <c r="AL466" s="1594"/>
      <c r="AM466" s="534"/>
    </row>
    <row r="467" spans="1:39">
      <c r="A467" s="1584"/>
      <c r="B467" s="1587" t="s">
        <v>462</v>
      </c>
      <c r="C467" s="1587"/>
      <c r="D467" s="632"/>
      <c r="E467" s="1587"/>
      <c r="F467" s="632">
        <v>0</v>
      </c>
      <c r="G467" s="1594"/>
      <c r="Q467" s="317"/>
      <c r="R467" s="1594"/>
      <c r="S467" s="1594"/>
      <c r="T467" s="1594"/>
      <c r="U467" s="621">
        <v>-1983188</v>
      </c>
      <c r="V467" s="499"/>
      <c r="W467" s="317"/>
      <c r="X467" s="317"/>
      <c r="Y467" s="317"/>
      <c r="Z467" s="317"/>
      <c r="AA467" s="1143"/>
      <c r="AB467" s="1145"/>
      <c r="AC467" s="1145"/>
      <c r="AD467" s="1145"/>
      <c r="AE467" s="1594"/>
      <c r="AF467" s="1594"/>
      <c r="AG467" s="1594"/>
      <c r="AH467" s="1594"/>
      <c r="AI467" s="1594"/>
      <c r="AJ467" s="1594"/>
      <c r="AK467" s="1594"/>
      <c r="AL467" s="1594"/>
      <c r="AM467" s="534"/>
    </row>
    <row r="468" spans="1:39">
      <c r="A468" s="1584"/>
      <c r="B468" s="1587" t="s">
        <v>731</v>
      </c>
      <c r="C468" s="1587"/>
      <c r="D468" s="632">
        <f>-'Cash Flow Statement'!D17</f>
        <v>1606744.2000000002</v>
      </c>
      <c r="E468" s="1587"/>
      <c r="F468" s="213">
        <f>-'Cash Flow Statement'!F17</f>
        <v>2312617.1300000004</v>
      </c>
      <c r="G468" s="1594"/>
      <c r="Q468" s="317" t="e">
        <f>'Statement of Financial Performa'!S53</f>
        <v>#REF!</v>
      </c>
      <c r="R468" s="1594"/>
      <c r="S468" s="1594"/>
      <c r="T468" s="1594"/>
      <c r="U468" s="621" t="e">
        <f>'Statement of Financial Performa'!U53</f>
        <v>#REF!</v>
      </c>
      <c r="V468" s="499"/>
      <c r="W468" s="317"/>
      <c r="X468" s="317"/>
      <c r="Y468" s="317" t="s">
        <v>36</v>
      </c>
      <c r="Z468" s="317"/>
      <c r="AA468" s="1143"/>
      <c r="AB468" s="1145"/>
      <c r="AC468" s="1145"/>
      <c r="AD468" s="1145"/>
      <c r="AE468" s="1594"/>
      <c r="AF468" s="1594"/>
      <c r="AG468" s="1594"/>
      <c r="AH468" s="1594"/>
      <c r="AI468" s="1594"/>
      <c r="AJ468" s="1594"/>
      <c r="AK468" s="1594"/>
      <c r="AL468" s="1594"/>
      <c r="AM468" s="534"/>
    </row>
    <row r="469" spans="1:39">
      <c r="A469" s="1584"/>
      <c r="B469" s="1587" t="s">
        <v>319</v>
      </c>
      <c r="C469" s="1587"/>
      <c r="D469" s="632"/>
      <c r="E469" s="1587"/>
      <c r="F469" s="632">
        <v>0</v>
      </c>
      <c r="G469" s="1594"/>
      <c r="Q469" s="317" t="e">
        <f>#REF!</f>
        <v>#REF!</v>
      </c>
      <c r="R469" s="1594"/>
      <c r="S469" s="1594"/>
      <c r="T469" s="1594"/>
      <c r="U469" s="621" t="e">
        <f>#REF!</f>
        <v>#REF!</v>
      </c>
      <c r="V469" s="499"/>
      <c r="W469" s="317"/>
      <c r="X469" s="317"/>
      <c r="Y469" s="317" t="s">
        <v>36</v>
      </c>
      <c r="Z469" s="317"/>
      <c r="AA469" s="1143"/>
      <c r="AB469" s="1145"/>
      <c r="AC469" s="1145"/>
      <c r="AD469" s="1145"/>
      <c r="AE469" s="1594"/>
      <c r="AF469" s="1594"/>
      <c r="AG469" s="1594"/>
      <c r="AH469" s="1594"/>
      <c r="AI469" s="1594"/>
      <c r="AJ469" s="1594"/>
      <c r="AK469" s="1594"/>
      <c r="AL469" s="1594"/>
      <c r="AM469" s="534"/>
    </row>
    <row r="470" spans="1:39">
      <c r="A470" s="1584"/>
      <c r="B470" s="1587" t="s">
        <v>1568</v>
      </c>
      <c r="C470" s="1587"/>
      <c r="D470" s="632">
        <v>0</v>
      </c>
      <c r="E470" s="1587"/>
      <c r="F470" s="632"/>
      <c r="G470" s="1594"/>
      <c r="Q470" s="317"/>
      <c r="R470" s="1594"/>
      <c r="S470" s="1594"/>
      <c r="T470" s="1594"/>
      <c r="U470" s="621"/>
      <c r="V470" s="499"/>
      <c r="W470" s="317"/>
      <c r="X470" s="317"/>
      <c r="Y470" s="317"/>
      <c r="Z470" s="317"/>
      <c r="AA470" s="1143"/>
      <c r="AB470" s="1145"/>
      <c r="AC470" s="1145"/>
      <c r="AD470" s="1145"/>
      <c r="AE470" s="1594"/>
      <c r="AF470" s="1594"/>
      <c r="AG470" s="1594"/>
      <c r="AH470" s="1594"/>
      <c r="AI470" s="1594"/>
      <c r="AJ470" s="1594"/>
      <c r="AK470" s="1594"/>
      <c r="AL470" s="1594"/>
      <c r="AM470" s="534"/>
    </row>
    <row r="471" spans="1:39">
      <c r="A471" s="1584"/>
      <c r="B471" s="1587" t="s">
        <v>1864</v>
      </c>
      <c r="C471" s="1587"/>
      <c r="D471" s="632">
        <f>-'Statement of Financial Performa'!F27</f>
        <v>-1447504.56</v>
      </c>
      <c r="E471" s="1587"/>
      <c r="F471" s="632">
        <f>-'Statement of Financial Performa'!H27</f>
        <v>-799677.8</v>
      </c>
      <c r="G471" s="1594"/>
      <c r="Q471" s="317">
        <v>0</v>
      </c>
      <c r="R471" s="1594"/>
      <c r="S471" s="1594"/>
      <c r="T471" s="1594"/>
      <c r="U471" s="621"/>
      <c r="V471" s="499"/>
      <c r="W471" s="317"/>
      <c r="X471" s="317"/>
      <c r="Y471" s="317"/>
      <c r="Z471" s="317"/>
      <c r="AA471" s="1143"/>
      <c r="AB471" s="1145"/>
      <c r="AC471" s="1145"/>
      <c r="AD471" s="1145"/>
      <c r="AE471" s="1594"/>
      <c r="AF471" s="1594"/>
      <c r="AG471" s="1594"/>
      <c r="AH471" s="1594"/>
      <c r="AI471" s="1594"/>
      <c r="AJ471" s="1594"/>
      <c r="AK471" s="1594"/>
      <c r="AL471" s="1594"/>
      <c r="AM471" s="534"/>
    </row>
    <row r="472" spans="1:39">
      <c r="A472" s="1584"/>
      <c r="B472" s="1587" t="s">
        <v>1731</v>
      </c>
      <c r="C472" s="1587"/>
      <c r="D472" s="213">
        <f>'Statement of Financial Performa'!F48</f>
        <v>1932.0300000000279</v>
      </c>
      <c r="E472" s="1587"/>
      <c r="F472" s="213">
        <f>'Statement of Financial Performa'!H48</f>
        <v>3884563.47</v>
      </c>
      <c r="G472" s="1594"/>
      <c r="Q472" s="317" t="e">
        <f>'Statement of Financial Performa'!S48</f>
        <v>#REF!</v>
      </c>
      <c r="R472" s="1594"/>
      <c r="S472" s="1594"/>
      <c r="T472" s="1594"/>
      <c r="U472" s="621"/>
      <c r="V472" s="499"/>
      <c r="W472" s="317"/>
      <c r="X472" s="317"/>
      <c r="Y472" s="317"/>
      <c r="Z472" s="317"/>
      <c r="AA472" s="1143"/>
      <c r="AB472" s="1145"/>
      <c r="AC472" s="1145"/>
      <c r="AD472" s="1145"/>
      <c r="AE472" s="1594"/>
      <c r="AF472" s="1594"/>
      <c r="AG472" s="1594"/>
      <c r="AH472" s="1594"/>
      <c r="AI472" s="1594"/>
      <c r="AJ472" s="1594"/>
      <c r="AK472" s="1594"/>
      <c r="AL472" s="1594"/>
      <c r="AM472" s="534"/>
    </row>
    <row r="473" spans="1:39">
      <c r="A473" s="1584"/>
      <c r="B473" s="1593" t="s">
        <v>1724</v>
      </c>
      <c r="C473" s="1593"/>
      <c r="D473" s="213">
        <f>-'Statement of Financial Performa'!F13</f>
        <v>-943941.6399999999</v>
      </c>
      <c r="E473" s="1593"/>
      <c r="F473" s="213">
        <f>-'Statement of Financial Performa'!H13</f>
        <v>-754842.32000000007</v>
      </c>
      <c r="G473" s="1594"/>
      <c r="Q473" s="317">
        <f>-'Statement of Financial Performa'!S13</f>
        <v>-231262.92</v>
      </c>
      <c r="R473" s="1594"/>
      <c r="S473" s="1594"/>
      <c r="T473" s="1594"/>
      <c r="U473" s="621">
        <v>0</v>
      </c>
      <c r="V473" s="499"/>
      <c r="W473" s="317"/>
      <c r="X473" s="317"/>
      <c r="Y473" s="317" t="s">
        <v>36</v>
      </c>
      <c r="Z473" s="317"/>
      <c r="AA473" s="1143"/>
      <c r="AB473" s="1145"/>
      <c r="AC473" s="1145"/>
      <c r="AD473" s="1145"/>
      <c r="AE473" s="1594"/>
      <c r="AF473" s="1594"/>
      <c r="AG473" s="1594"/>
      <c r="AH473" s="1594"/>
      <c r="AI473" s="1594"/>
      <c r="AJ473" s="1594"/>
      <c r="AK473" s="1594"/>
      <c r="AL473" s="1594"/>
      <c r="AM473" s="534"/>
    </row>
    <row r="474" spans="1:39">
      <c r="A474" s="1584"/>
      <c r="B474" s="1587" t="s">
        <v>1155</v>
      </c>
      <c r="C474" s="1587"/>
      <c r="D474" s="632"/>
      <c r="E474" s="1587"/>
      <c r="F474" s="632">
        <v>0</v>
      </c>
      <c r="G474" s="1594"/>
      <c r="Q474" s="317">
        <v>0</v>
      </c>
      <c r="R474" s="1594"/>
      <c r="S474" s="1594"/>
      <c r="T474" s="1594"/>
      <c r="U474" s="621">
        <v>233884</v>
      </c>
      <c r="V474" s="499"/>
      <c r="W474" s="316" t="s">
        <v>36</v>
      </c>
      <c r="X474" s="317"/>
      <c r="Y474" s="317"/>
      <c r="Z474" s="317"/>
      <c r="AA474" s="1143"/>
      <c r="AB474" s="1145"/>
      <c r="AC474" s="1145"/>
      <c r="AD474" s="1145"/>
      <c r="AE474" s="1594"/>
      <c r="AF474" s="1594"/>
      <c r="AG474" s="1594"/>
      <c r="AH474" s="1594"/>
      <c r="AI474" s="1594"/>
      <c r="AJ474" s="1594"/>
      <c r="AK474" s="1594"/>
      <c r="AL474" s="1594"/>
      <c r="AM474" s="534"/>
    </row>
    <row r="475" spans="1:39">
      <c r="A475" s="1584"/>
      <c r="B475" s="1587" t="s">
        <v>1321</v>
      </c>
      <c r="C475" s="1587"/>
      <c r="D475" s="632">
        <v>0</v>
      </c>
      <c r="E475" s="1587"/>
      <c r="F475" s="632">
        <v>0</v>
      </c>
      <c r="G475" s="1594"/>
      <c r="Q475" s="317">
        <v>-1165757</v>
      </c>
      <c r="R475" s="1594"/>
      <c r="S475" s="1594"/>
      <c r="T475" s="1594"/>
      <c r="U475" s="621"/>
      <c r="V475" s="499"/>
      <c r="W475" s="316"/>
      <c r="X475" s="317"/>
      <c r="Y475" s="317"/>
      <c r="Z475" s="317"/>
      <c r="AA475" s="1143"/>
      <c r="AB475" s="1145"/>
      <c r="AC475" s="1145"/>
      <c r="AD475" s="1145"/>
      <c r="AE475" s="1594"/>
      <c r="AF475" s="1594"/>
      <c r="AG475" s="1594"/>
      <c r="AH475" s="1594"/>
      <c r="AI475" s="1594"/>
      <c r="AJ475" s="1594"/>
      <c r="AK475" s="1594"/>
      <c r="AL475" s="1594"/>
      <c r="AM475" s="534"/>
    </row>
    <row r="476" spans="1:39">
      <c r="A476" s="1584"/>
      <c r="B476" s="1587" t="s">
        <v>849</v>
      </c>
      <c r="C476" s="1587"/>
      <c r="D476" s="632">
        <f>-'main TB'!Q22</f>
        <v>419890.57</v>
      </c>
      <c r="E476" s="1587"/>
      <c r="F476" s="632">
        <f>'Cash Flow Statement'!N28</f>
        <v>-419890.57</v>
      </c>
      <c r="G476" s="1594"/>
      <c r="Q476" s="317">
        <v>3223927</v>
      </c>
      <c r="R476" s="1594"/>
      <c r="S476" s="1594"/>
      <c r="T476" s="1594"/>
      <c r="U476" s="621">
        <v>0</v>
      </c>
      <c r="V476" s="499"/>
      <c r="W476" s="317"/>
      <c r="X476" s="317"/>
      <c r="Y476" s="317"/>
      <c r="Z476" s="317"/>
      <c r="AA476" s="1143"/>
      <c r="AB476" s="1145"/>
      <c r="AC476" s="1145"/>
      <c r="AD476" s="1145"/>
      <c r="AE476" s="1594"/>
      <c r="AF476" s="1594"/>
      <c r="AG476" s="1594"/>
      <c r="AH476" s="1594"/>
      <c r="AI476" s="1594"/>
      <c r="AJ476" s="1594"/>
      <c r="AK476" s="1594"/>
      <c r="AL476" s="1594"/>
      <c r="AM476" s="534"/>
    </row>
    <row r="477" spans="1:39">
      <c r="A477" s="1584"/>
      <c r="B477" s="1587" t="s">
        <v>1156</v>
      </c>
      <c r="C477" s="1587"/>
      <c r="D477" s="627">
        <v>0</v>
      </c>
      <c r="E477" s="1587"/>
      <c r="F477" s="627"/>
      <c r="G477" s="1594"/>
      <c r="Q477" s="317">
        <v>0</v>
      </c>
      <c r="R477" s="1594"/>
      <c r="S477" s="1594"/>
      <c r="T477" s="1594"/>
      <c r="U477" s="621">
        <v>13360</v>
      </c>
      <c r="V477" s="499"/>
      <c r="W477" s="316" t="s">
        <v>36</v>
      </c>
      <c r="X477" s="317"/>
      <c r="Y477" s="317"/>
      <c r="Z477" s="317"/>
      <c r="AA477" s="1143"/>
      <c r="AB477" s="1145"/>
      <c r="AC477" s="1145"/>
      <c r="AD477" s="1145"/>
      <c r="AE477" s="1594"/>
      <c r="AF477" s="1594"/>
      <c r="AG477" s="1594"/>
      <c r="AH477" s="1594"/>
      <c r="AI477" s="1594"/>
      <c r="AJ477" s="1594"/>
      <c r="AK477" s="1594"/>
      <c r="AL477" s="1594"/>
      <c r="AM477" s="534"/>
    </row>
    <row r="478" spans="1:39">
      <c r="A478" s="1584"/>
      <c r="B478" s="1587"/>
      <c r="C478" s="1587"/>
      <c r="D478" s="628"/>
      <c r="E478" s="1587"/>
      <c r="F478" s="628"/>
      <c r="G478" s="1594"/>
      <c r="Q478" s="317"/>
      <c r="R478" s="1594"/>
      <c r="S478" s="1594"/>
      <c r="T478" s="1594"/>
      <c r="U478" s="621"/>
      <c r="V478" s="499"/>
      <c r="W478" s="316"/>
      <c r="X478" s="317"/>
      <c r="Y478" s="317"/>
      <c r="Z478" s="317"/>
      <c r="AA478" s="1143"/>
      <c r="AB478" s="1145"/>
      <c r="AC478" s="1145"/>
      <c r="AD478" s="1145"/>
      <c r="AE478" s="1594"/>
      <c r="AF478" s="1594"/>
      <c r="AG478" s="1594"/>
      <c r="AH478" s="1594"/>
      <c r="AI478" s="1594"/>
      <c r="AJ478" s="1594"/>
      <c r="AK478" s="1594"/>
      <c r="AL478" s="1594"/>
      <c r="AM478" s="534"/>
    </row>
    <row r="479" spans="1:39" ht="13.5" thickBot="1">
      <c r="A479" s="1584"/>
      <c r="B479" s="142" t="s">
        <v>1157</v>
      </c>
      <c r="C479" s="142"/>
      <c r="D479" s="143">
        <f>SUM(D460:D477)</f>
        <v>25455662.169999979</v>
      </c>
      <c r="E479" s="142"/>
      <c r="F479" s="143">
        <f>SUM(F460:F477)</f>
        <v>-4569016.7500000065</v>
      </c>
      <c r="G479" s="135"/>
      <c r="H479" s="185"/>
      <c r="I479" s="135"/>
      <c r="J479" s="135"/>
      <c r="K479" s="135"/>
      <c r="L479" s="135"/>
      <c r="M479" s="135"/>
      <c r="N479" s="135"/>
      <c r="O479" s="135"/>
      <c r="P479" s="135"/>
      <c r="Q479" s="136" t="e">
        <f>SUM(Q460:Q477)</f>
        <v>#REF!</v>
      </c>
      <c r="R479" s="135"/>
      <c r="S479" s="135"/>
      <c r="T479" s="135"/>
      <c r="U479" s="227" t="e">
        <f>SUM(U460:U477)</f>
        <v>#REF!</v>
      </c>
      <c r="V479" s="223"/>
      <c r="W479" s="317"/>
      <c r="X479" s="317"/>
      <c r="Y479" s="325"/>
      <c r="Z479" s="317"/>
      <c r="AA479" s="1143"/>
      <c r="AB479" s="1145"/>
      <c r="AC479" s="1145"/>
      <c r="AD479" s="1145"/>
      <c r="AE479" s="1594"/>
      <c r="AF479" s="1594"/>
      <c r="AG479" s="1594"/>
      <c r="AH479" s="1594"/>
      <c r="AI479" s="1594"/>
      <c r="AJ479" s="1594"/>
      <c r="AK479" s="1594"/>
      <c r="AL479" s="1594"/>
      <c r="AM479" s="534"/>
    </row>
    <row r="480" spans="1:39" ht="13.5" thickTop="1">
      <c r="A480" s="1584"/>
      <c r="B480" s="142"/>
      <c r="C480" s="142"/>
      <c r="D480" s="144"/>
      <c r="E480" s="142"/>
      <c r="F480" s="136"/>
      <c r="G480" s="135"/>
      <c r="H480" s="185"/>
      <c r="I480" s="135"/>
      <c r="J480" s="135"/>
      <c r="K480" s="135"/>
      <c r="L480" s="135"/>
      <c r="M480" s="135"/>
      <c r="N480" s="135"/>
      <c r="O480" s="135"/>
      <c r="P480" s="135"/>
      <c r="Q480" s="136"/>
      <c r="R480" s="135"/>
      <c r="S480" s="135"/>
      <c r="T480" s="135"/>
      <c r="U480" s="227"/>
      <c r="V480" s="223"/>
      <c r="W480" s="317"/>
      <c r="X480" s="317"/>
      <c r="Y480" s="325"/>
      <c r="Z480" s="317"/>
      <c r="AA480" s="1143"/>
      <c r="AB480" s="1145"/>
      <c r="AC480" s="1145"/>
      <c r="AD480" s="1145"/>
      <c r="AE480" s="1594"/>
      <c r="AF480" s="1594"/>
      <c r="AG480" s="1594"/>
      <c r="AH480" s="1594"/>
      <c r="AI480" s="1594"/>
      <c r="AJ480" s="1594"/>
      <c r="AK480" s="1594"/>
      <c r="AL480" s="1594"/>
      <c r="AM480" s="534"/>
    </row>
    <row r="481" spans="1:39">
      <c r="A481" s="1584"/>
      <c r="B481" s="1587" t="s">
        <v>1158</v>
      </c>
      <c r="C481" s="1587"/>
      <c r="D481" s="630">
        <f>'Note 11-14'!D78</f>
        <v>14317.989999999998</v>
      </c>
      <c r="E481" s="1587"/>
      <c r="F481" s="262">
        <v>4003.5400000000373</v>
      </c>
      <c r="G481" s="1587"/>
      <c r="H481" s="332"/>
      <c r="I481" s="1587"/>
      <c r="J481" s="1587"/>
      <c r="K481" s="1587"/>
      <c r="L481" s="1587"/>
      <c r="M481" s="1587"/>
      <c r="N481" s="1587"/>
      <c r="O481" s="1587"/>
      <c r="P481" s="1587"/>
      <c r="Q481" s="325">
        <v>-184075</v>
      </c>
      <c r="R481" s="1594"/>
      <c r="S481" s="1594"/>
      <c r="T481" s="1594"/>
      <c r="U481" s="527">
        <v>-1836392</v>
      </c>
      <c r="V481" s="499"/>
      <c r="W481" s="312" t="s">
        <v>36</v>
      </c>
      <c r="X481" s="317"/>
      <c r="Y481" s="325"/>
      <c r="Z481" s="317"/>
      <c r="AA481" s="1143"/>
      <c r="AB481" s="1145"/>
      <c r="AC481" s="1145"/>
      <c r="AD481" s="1145"/>
      <c r="AE481" s="1594"/>
      <c r="AF481" s="1594"/>
      <c r="AG481" s="1594"/>
      <c r="AH481" s="1594"/>
      <c r="AI481" s="1594"/>
      <c r="AJ481" s="1594"/>
      <c r="AK481" s="1594"/>
      <c r="AL481" s="1594"/>
      <c r="AM481" s="534"/>
    </row>
    <row r="482" spans="1:39">
      <c r="A482" s="1584"/>
      <c r="B482" s="1587" t="s">
        <v>1159</v>
      </c>
      <c r="C482" s="1587"/>
      <c r="D482" s="632">
        <f>'Statement of Financial Position'!F39</f>
        <v>437764.05499999784</v>
      </c>
      <c r="E482" s="1587"/>
      <c r="F482" s="215">
        <v>894453.35999999847</v>
      </c>
      <c r="G482" s="1587"/>
      <c r="H482" s="332"/>
      <c r="I482" s="1587"/>
      <c r="J482" s="1587"/>
      <c r="K482" s="1587"/>
      <c r="L482" s="1587"/>
      <c r="M482" s="1587"/>
      <c r="N482" s="1587"/>
      <c r="O482" s="1587"/>
      <c r="P482" s="1587"/>
      <c r="Q482" s="325">
        <f>-'Note 15'!G59-3</f>
        <v>398326.95500000007</v>
      </c>
      <c r="R482" s="1594"/>
      <c r="S482" s="1594"/>
      <c r="T482" s="1594"/>
      <c r="U482" s="527">
        <v>-3817550</v>
      </c>
      <c r="V482" s="499"/>
      <c r="W482" s="312" t="s">
        <v>36</v>
      </c>
      <c r="X482" s="317"/>
      <c r="Y482" s="317"/>
      <c r="Z482" s="317"/>
      <c r="AA482" s="1143"/>
      <c r="AB482" s="1145"/>
      <c r="AC482" s="1145"/>
      <c r="AD482" s="1145"/>
      <c r="AE482" s="1594"/>
      <c r="AF482" s="1594"/>
      <c r="AG482" s="1594"/>
      <c r="AH482" s="1594"/>
      <c r="AI482" s="1594"/>
      <c r="AJ482" s="1594"/>
      <c r="AK482" s="1594"/>
      <c r="AL482" s="1594"/>
      <c r="AM482" s="534"/>
    </row>
    <row r="483" spans="1:39">
      <c r="A483" s="1584"/>
      <c r="B483" s="1587" t="s">
        <v>1160</v>
      </c>
      <c r="C483" s="1587"/>
      <c r="D483" s="632">
        <f>'Statement of Financial Position'!F40</f>
        <v>-2284765.8199999966</v>
      </c>
      <c r="E483" s="1587"/>
      <c r="F483" s="331">
        <v>-7648849.7300000135</v>
      </c>
      <c r="G483" s="1587"/>
      <c r="H483" s="332"/>
      <c r="I483" s="1587"/>
      <c r="J483" s="1587"/>
      <c r="K483" s="1587"/>
      <c r="L483" s="1587"/>
      <c r="M483" s="1587"/>
      <c r="N483" s="1587"/>
      <c r="O483" s="1587"/>
      <c r="P483" s="1587"/>
      <c r="Q483" s="325">
        <v>-3407643</v>
      </c>
      <c r="R483" s="1594"/>
      <c r="S483" s="1594"/>
      <c r="T483" s="1594"/>
      <c r="U483" s="527">
        <v>-1452352</v>
      </c>
      <c r="V483" s="499"/>
      <c r="W483" s="317"/>
      <c r="X483" s="317"/>
      <c r="Y483" s="317"/>
      <c r="Z483" s="317"/>
      <c r="AA483" s="1143"/>
      <c r="AB483" s="1145"/>
      <c r="AC483" s="1145"/>
      <c r="AD483" s="1145"/>
      <c r="AE483" s="1594"/>
      <c r="AF483" s="1594"/>
      <c r="AG483" s="1594"/>
      <c r="AH483" s="1594"/>
      <c r="AI483" s="1594"/>
      <c r="AJ483" s="1594"/>
      <c r="AK483" s="1594"/>
      <c r="AL483" s="1594"/>
      <c r="AM483" s="534"/>
    </row>
    <row r="484" spans="1:39">
      <c r="A484" s="1584"/>
      <c r="B484" s="1587" t="s">
        <v>1161</v>
      </c>
      <c r="C484" s="1587"/>
      <c r="D484" s="632">
        <v>6641271</v>
      </c>
      <c r="E484" s="1587"/>
      <c r="F484" s="331">
        <v>11454563.430000005</v>
      </c>
      <c r="G484" s="1587"/>
      <c r="H484" s="332"/>
      <c r="I484" s="1587"/>
      <c r="J484" s="1587"/>
      <c r="K484" s="1587"/>
      <c r="L484" s="1587"/>
      <c r="M484" s="1587"/>
      <c r="N484" s="1587"/>
      <c r="O484" s="1587"/>
      <c r="P484" s="1587"/>
      <c r="Q484" s="325">
        <v>3629278</v>
      </c>
      <c r="R484" s="1594"/>
      <c r="S484" s="1594"/>
      <c r="T484" s="1594"/>
      <c r="U484" s="527">
        <v>2034955</v>
      </c>
      <c r="V484" s="499"/>
      <c r="W484" s="317" t="s">
        <v>36</v>
      </c>
      <c r="X484" s="317" t="s">
        <v>36</v>
      </c>
      <c r="Y484" s="317"/>
      <c r="Z484" s="317"/>
      <c r="AA484" s="1143"/>
      <c r="AB484" s="1145"/>
      <c r="AC484" s="1145"/>
      <c r="AD484" s="1145"/>
      <c r="AE484" s="1594"/>
      <c r="AF484" s="1594"/>
      <c r="AG484" s="1594"/>
      <c r="AH484" s="1594"/>
      <c r="AI484" s="1594"/>
      <c r="AJ484" s="1594"/>
      <c r="AK484" s="1594"/>
      <c r="AL484" s="1594"/>
      <c r="AM484" s="534"/>
    </row>
    <row r="485" spans="1:39">
      <c r="A485" s="1584"/>
      <c r="B485" s="1587" t="s">
        <v>318</v>
      </c>
      <c r="C485" s="1587"/>
      <c r="D485" s="632">
        <v>0</v>
      </c>
      <c r="E485" s="1587"/>
      <c r="F485" s="632">
        <v>0</v>
      </c>
      <c r="G485" s="1587"/>
      <c r="H485" s="332"/>
      <c r="I485" s="1587"/>
      <c r="J485" s="1587"/>
      <c r="K485" s="1587"/>
      <c r="L485" s="1587"/>
      <c r="M485" s="1587"/>
      <c r="N485" s="1587"/>
      <c r="O485" s="1587"/>
      <c r="P485" s="1587"/>
      <c r="Q485" s="325">
        <v>0</v>
      </c>
      <c r="R485" s="1594"/>
      <c r="S485" s="1594"/>
      <c r="T485" s="1594"/>
      <c r="U485" s="527">
        <v>0</v>
      </c>
      <c r="V485" s="499"/>
      <c r="W485" s="317"/>
      <c r="X485" s="317"/>
      <c r="Y485" s="317"/>
      <c r="Z485" s="317"/>
      <c r="AA485" s="1143"/>
      <c r="AB485" s="1145"/>
      <c r="AC485" s="1145"/>
      <c r="AD485" s="1145"/>
      <c r="AE485" s="1594"/>
      <c r="AF485" s="1594"/>
      <c r="AG485" s="1594"/>
      <c r="AH485" s="1594"/>
      <c r="AI485" s="1594"/>
      <c r="AJ485" s="1594"/>
      <c r="AK485" s="1594"/>
      <c r="AL485" s="1594"/>
      <c r="AM485" s="534"/>
    </row>
    <row r="486" spans="1:39">
      <c r="A486" s="1584"/>
      <c r="B486" s="1587" t="s">
        <v>2500</v>
      </c>
      <c r="C486" s="1587"/>
      <c r="D486" s="632">
        <v>0</v>
      </c>
      <c r="E486" s="1587"/>
      <c r="F486" s="632"/>
      <c r="G486" s="1587"/>
      <c r="H486" s="332"/>
      <c r="I486" s="1587"/>
      <c r="J486" s="1587"/>
      <c r="K486" s="1587"/>
      <c r="L486" s="1587"/>
      <c r="M486" s="1587"/>
      <c r="N486" s="1587"/>
      <c r="O486" s="1587"/>
      <c r="P486" s="1587"/>
      <c r="Q486" s="325"/>
      <c r="R486" s="1594"/>
      <c r="S486" s="1594"/>
      <c r="T486" s="1594"/>
      <c r="U486" s="527"/>
      <c r="V486" s="499"/>
      <c r="W486" s="317"/>
      <c r="X486" s="317"/>
      <c r="Y486" s="317"/>
      <c r="Z486" s="317"/>
      <c r="AA486" s="1143"/>
      <c r="AB486" s="1145"/>
      <c r="AC486" s="1145"/>
      <c r="AD486" s="1145"/>
      <c r="AE486" s="1594"/>
      <c r="AF486" s="1594"/>
      <c r="AG486" s="1594"/>
      <c r="AH486" s="1594"/>
      <c r="AI486" s="1594"/>
      <c r="AJ486" s="1594"/>
      <c r="AK486" s="1594"/>
      <c r="AL486" s="1594"/>
      <c r="AM486" s="534"/>
    </row>
    <row r="487" spans="1:39">
      <c r="A487" s="1584"/>
      <c r="B487" s="1594" t="s">
        <v>346</v>
      </c>
      <c r="C487" s="1594"/>
      <c r="D487" s="213">
        <f>-'Statement of Financial Position'!F14</f>
        <v>-1548600.0899999999</v>
      </c>
      <c r="E487" s="1594"/>
      <c r="F487" s="213">
        <v>-3349376.1199999992</v>
      </c>
      <c r="G487" s="1587"/>
      <c r="H487" s="332"/>
      <c r="I487" s="1587"/>
      <c r="J487" s="1587"/>
      <c r="K487" s="1587"/>
      <c r="L487" s="1587"/>
      <c r="M487" s="1587"/>
      <c r="N487" s="1587"/>
      <c r="O487" s="1587"/>
      <c r="P487" s="1587"/>
      <c r="Q487" s="325">
        <v>0</v>
      </c>
      <c r="R487" s="1594"/>
      <c r="S487" s="1594"/>
      <c r="T487" s="1594"/>
      <c r="U487" s="527"/>
      <c r="V487" s="499"/>
      <c r="W487" s="317"/>
      <c r="X487" s="317" t="s">
        <v>36</v>
      </c>
      <c r="Y487" s="317"/>
      <c r="Z487" s="317"/>
      <c r="AA487" s="1143"/>
      <c r="AB487" s="1145"/>
      <c r="AC487" s="1145"/>
      <c r="AD487" s="1145"/>
      <c r="AE487" s="1594"/>
      <c r="AF487" s="1594"/>
      <c r="AG487" s="1594"/>
      <c r="AH487" s="1594"/>
      <c r="AI487" s="1594"/>
      <c r="AJ487" s="1594"/>
      <c r="AK487" s="1594"/>
      <c r="AL487" s="1594"/>
      <c r="AM487" s="534"/>
    </row>
    <row r="488" spans="1:39">
      <c r="A488" s="1584"/>
      <c r="B488" s="1594" t="s">
        <v>88</v>
      </c>
      <c r="C488" s="1594"/>
      <c r="D488" s="213">
        <f>'Statement of Financial Position'!F23</f>
        <v>2717687.99</v>
      </c>
      <c r="E488" s="1594"/>
      <c r="F488" s="213">
        <v>1215105.04</v>
      </c>
      <c r="G488" s="1587"/>
      <c r="H488" s="332"/>
      <c r="I488" s="1587"/>
      <c r="J488" s="1587"/>
      <c r="K488" s="1587"/>
      <c r="L488" s="1587"/>
      <c r="M488" s="1587"/>
      <c r="N488" s="1587"/>
      <c r="O488" s="1587"/>
      <c r="P488" s="1587"/>
      <c r="Q488" s="325">
        <v>0</v>
      </c>
      <c r="R488" s="1594"/>
      <c r="S488" s="1594"/>
      <c r="T488" s="1594"/>
      <c r="U488" s="527"/>
      <c r="V488" s="499"/>
      <c r="W488" s="317"/>
      <c r="X488" s="317" t="s">
        <v>36</v>
      </c>
      <c r="Y488" s="317"/>
      <c r="Z488" s="317"/>
      <c r="AA488" s="1143"/>
      <c r="AB488" s="1145"/>
      <c r="AC488" s="1145"/>
      <c r="AD488" s="1145"/>
      <c r="AE488" s="1594"/>
      <c r="AF488" s="1594"/>
      <c r="AG488" s="1594"/>
      <c r="AH488" s="1594"/>
      <c r="AI488" s="1594"/>
      <c r="AJ488" s="1594"/>
      <c r="AK488" s="1594"/>
      <c r="AL488" s="1594"/>
      <c r="AM488" s="534"/>
    </row>
    <row r="489" spans="1:39">
      <c r="A489" s="1584"/>
      <c r="B489" s="1594" t="s">
        <v>991</v>
      </c>
      <c r="C489" s="1594"/>
      <c r="D489" s="213">
        <f>-'Statement of Financial Position'!F22</f>
        <v>-2843600.5200000005</v>
      </c>
      <c r="E489" s="1594"/>
      <c r="F489" s="331">
        <v>-4048928.0399999991</v>
      </c>
      <c r="G489" s="1587"/>
      <c r="H489" s="332"/>
      <c r="I489" s="1587"/>
      <c r="J489" s="1587"/>
      <c r="K489" s="1587"/>
      <c r="L489" s="1587"/>
      <c r="M489" s="1587"/>
      <c r="N489" s="1587"/>
      <c r="O489" s="1587"/>
      <c r="P489" s="1587"/>
      <c r="Q489" s="325">
        <v>-435887</v>
      </c>
      <c r="R489" s="1594"/>
      <c r="S489" s="1594"/>
      <c r="T489" s="1594"/>
      <c r="U489" s="527"/>
      <c r="V489" s="499"/>
      <c r="W489" s="317"/>
      <c r="X489" s="317" t="s">
        <v>36</v>
      </c>
      <c r="Y489" s="317"/>
      <c r="Z489" s="317"/>
      <c r="AA489" s="1143"/>
      <c r="AB489" s="1145"/>
      <c r="AC489" s="1145"/>
      <c r="AD489" s="1145"/>
      <c r="AE489" s="1594"/>
      <c r="AF489" s="1594"/>
      <c r="AG489" s="1594"/>
      <c r="AH489" s="1594"/>
      <c r="AI489" s="1594"/>
      <c r="AJ489" s="1594"/>
      <c r="AK489" s="1594"/>
      <c r="AL489" s="1594"/>
      <c r="AM489" s="534"/>
    </row>
    <row r="490" spans="1:39">
      <c r="A490" s="1584"/>
      <c r="B490" s="1587" t="s">
        <v>2048</v>
      </c>
      <c r="C490" s="1587"/>
      <c r="D490" s="632">
        <f>-'Statement of Financial Position'!F33</f>
        <v>1867100.7899999996</v>
      </c>
      <c r="E490" s="1587"/>
      <c r="F490" s="632">
        <v>1507829.69</v>
      </c>
      <c r="G490" s="1587"/>
      <c r="H490" s="332"/>
      <c r="I490" s="1587"/>
      <c r="J490" s="1587"/>
      <c r="K490" s="1587"/>
      <c r="L490" s="1587"/>
      <c r="M490" s="1587"/>
      <c r="N490" s="1587"/>
      <c r="O490" s="1587"/>
      <c r="P490" s="1587"/>
      <c r="Q490" s="325">
        <v>0</v>
      </c>
      <c r="R490" s="1594"/>
      <c r="S490" s="1594"/>
      <c r="T490" s="1594"/>
      <c r="U490" s="621">
        <v>0</v>
      </c>
      <c r="V490" s="499"/>
      <c r="W490" s="317"/>
      <c r="X490" s="317"/>
      <c r="Y490" s="317"/>
      <c r="Z490" s="317"/>
      <c r="AA490" s="1143"/>
      <c r="AB490" s="1145"/>
      <c r="AC490" s="1145"/>
      <c r="AD490" s="1145"/>
      <c r="AE490" s="1594"/>
      <c r="AF490" s="1594"/>
      <c r="AG490" s="1594"/>
      <c r="AH490" s="1594"/>
      <c r="AI490" s="1594"/>
      <c r="AJ490" s="1594"/>
      <c r="AK490" s="1594"/>
      <c r="AL490" s="1594"/>
      <c r="AM490" s="534"/>
    </row>
    <row r="491" spans="1:39">
      <c r="A491" s="1584"/>
      <c r="B491" s="1594" t="s">
        <v>1530</v>
      </c>
      <c r="C491" s="1594"/>
      <c r="D491" s="338">
        <f>'Statement of Financial Position'!F42</f>
        <v>-5001175.1599999983</v>
      </c>
      <c r="E491" s="1594"/>
      <c r="F491" s="338">
        <v>-28802.17</v>
      </c>
      <c r="G491" s="1587"/>
      <c r="H491" s="332"/>
      <c r="I491" s="1587"/>
      <c r="J491" s="1587"/>
      <c r="K491" s="1587"/>
      <c r="L491" s="1587"/>
      <c r="M491" s="1587"/>
      <c r="N491" s="1587"/>
      <c r="O491" s="1587"/>
      <c r="P491" s="1587"/>
      <c r="Q491" s="325">
        <v>0</v>
      </c>
      <c r="R491" s="1594"/>
      <c r="S491" s="1594"/>
      <c r="T491" s="1594"/>
      <c r="U491" s="621"/>
      <c r="V491" s="499"/>
      <c r="W491" s="317"/>
      <c r="X491" s="317" t="s">
        <v>36</v>
      </c>
      <c r="Y491" s="317"/>
      <c r="Z491" s="317"/>
      <c r="AA491" s="1143"/>
      <c r="AB491" s="1145"/>
      <c r="AC491" s="1145"/>
      <c r="AD491" s="1145"/>
      <c r="AE491" s="1594"/>
      <c r="AF491" s="1594"/>
      <c r="AG491" s="1594"/>
      <c r="AH491" s="1594"/>
      <c r="AI491" s="1594"/>
      <c r="AJ491" s="1594"/>
      <c r="AK491" s="1594"/>
      <c r="AL491" s="1594"/>
      <c r="AM491" s="534"/>
    </row>
    <row r="492" spans="1:39">
      <c r="A492" s="1584"/>
      <c r="B492" s="1587"/>
      <c r="C492" s="1587"/>
      <c r="D492" s="628"/>
      <c r="E492" s="1587"/>
      <c r="F492" s="628">
        <v>0</v>
      </c>
      <c r="G492" s="1587"/>
      <c r="H492" s="332"/>
      <c r="I492" s="1587"/>
      <c r="J492" s="1587"/>
      <c r="K492" s="1587"/>
      <c r="L492" s="1587"/>
      <c r="M492" s="1587"/>
      <c r="N492" s="1587"/>
      <c r="O492" s="1587"/>
      <c r="P492" s="1587"/>
      <c r="Q492" s="325"/>
      <c r="R492" s="1594"/>
      <c r="S492" s="1594"/>
      <c r="T492" s="1594"/>
      <c r="U492" s="527" t="s">
        <v>36</v>
      </c>
      <c r="V492" s="499"/>
      <c r="W492" s="317"/>
      <c r="X492" s="317"/>
      <c r="Y492" s="317"/>
      <c r="Z492" s="317"/>
      <c r="AA492" s="1143"/>
      <c r="AB492" s="1145"/>
      <c r="AC492" s="1145"/>
      <c r="AD492" s="1145"/>
      <c r="AE492" s="1594"/>
      <c r="AF492" s="1594"/>
      <c r="AG492" s="1594"/>
      <c r="AH492" s="1594"/>
      <c r="AI492" s="1594"/>
      <c r="AJ492" s="1594"/>
      <c r="AK492" s="1594"/>
      <c r="AL492" s="1594"/>
      <c r="AM492" s="534"/>
    </row>
    <row r="493" spans="1:39" ht="13.5" thickBot="1">
      <c r="A493" s="1584"/>
      <c r="B493" s="1194" t="s">
        <v>1162</v>
      </c>
      <c r="C493" s="1194"/>
      <c r="D493" s="154">
        <f>SUM(D479:D492)</f>
        <v>25455662.404999979</v>
      </c>
      <c r="E493" s="1194"/>
      <c r="F493" s="154">
        <f>SUM(F479:F492)</f>
        <v>-4569017.750000013</v>
      </c>
      <c r="G493" s="1194"/>
      <c r="H493" s="1030"/>
      <c r="I493" s="1194"/>
      <c r="J493" s="1194"/>
      <c r="K493" s="1194"/>
      <c r="L493" s="1194"/>
      <c r="M493" s="1194"/>
      <c r="N493" s="1194"/>
      <c r="O493" s="1194"/>
      <c r="P493" s="1194"/>
      <c r="Q493" s="154" t="e">
        <f>SUM(Q479:Q492)</f>
        <v>#REF!</v>
      </c>
      <c r="R493" s="135"/>
      <c r="S493" s="135"/>
      <c r="T493" s="135"/>
      <c r="U493" s="251" t="e">
        <f>SUM(U479:U492)</f>
        <v>#REF!</v>
      </c>
      <c r="V493" s="223"/>
      <c r="W493" s="317">
        <f>'Cash Flow Statement'!F14</f>
        <v>-3736808.7500000149</v>
      </c>
      <c r="X493" s="316">
        <f>W493-F493</f>
        <v>832208.99999999814</v>
      </c>
      <c r="Y493" s="317"/>
      <c r="Z493" s="317"/>
      <c r="AA493" s="1143"/>
      <c r="AB493" s="1145"/>
      <c r="AC493" s="1145"/>
      <c r="AD493" s="1145"/>
      <c r="AE493" s="1594"/>
      <c r="AF493" s="1594"/>
      <c r="AG493" s="1594"/>
      <c r="AH493" s="1594"/>
      <c r="AI493" s="1594"/>
      <c r="AJ493" s="1594"/>
      <c r="AK493" s="1594"/>
      <c r="AL493" s="1594"/>
      <c r="AM493" s="534"/>
    </row>
    <row r="494" spans="1:39" ht="13.5" thickTop="1">
      <c r="A494" s="279"/>
      <c r="B494" s="314"/>
      <c r="C494" s="314"/>
      <c r="D494" s="315"/>
      <c r="E494" s="314"/>
      <c r="F494" s="315"/>
      <c r="G494" s="314"/>
      <c r="Q494" s="315"/>
      <c r="R494" s="314"/>
      <c r="S494" s="314"/>
      <c r="T494" s="314"/>
      <c r="U494" s="634"/>
      <c r="V494" s="635"/>
      <c r="W494" s="317"/>
      <c r="X494" s="317">
        <v>0</v>
      </c>
      <c r="Y494" s="317"/>
      <c r="Z494" s="317"/>
      <c r="AA494" s="1143"/>
      <c r="AB494" s="1145"/>
      <c r="AC494" s="1145"/>
      <c r="AD494" s="1145"/>
      <c r="AE494" s="1594"/>
      <c r="AF494" s="1594"/>
      <c r="AG494" s="1594"/>
      <c r="AH494" s="1594"/>
      <c r="AI494" s="1594"/>
      <c r="AJ494" s="1594"/>
      <c r="AK494" s="1594"/>
      <c r="AL494" s="1594"/>
      <c r="AM494" s="534"/>
    </row>
    <row r="495" spans="1:39">
      <c r="A495" s="283"/>
      <c r="B495" s="665"/>
      <c r="C495" s="665"/>
      <c r="D495" s="666"/>
      <c r="E495" s="665"/>
      <c r="F495" s="666"/>
      <c r="G495" s="665"/>
      <c r="H495" s="241"/>
      <c r="I495" s="1595"/>
      <c r="J495" s="1595"/>
      <c r="K495" s="1595"/>
      <c r="L495" s="1595"/>
      <c r="M495" s="1595"/>
      <c r="N495" s="1595"/>
      <c r="O495" s="1595"/>
      <c r="P495" s="1595"/>
      <c r="Q495" s="666"/>
      <c r="R495" s="665"/>
      <c r="S495" s="665"/>
      <c r="T495" s="665"/>
      <c r="U495" s="667"/>
      <c r="V495" s="668"/>
      <c r="W495" s="317"/>
      <c r="X495" s="317"/>
      <c r="Y495" s="317"/>
      <c r="Z495" s="317"/>
      <c r="AA495" s="1143"/>
      <c r="AB495" s="1145"/>
      <c r="AC495" s="1145"/>
      <c r="AD495" s="1145"/>
      <c r="AE495" s="1594"/>
      <c r="AF495" s="1594"/>
      <c r="AG495" s="1594"/>
      <c r="AH495" s="1594"/>
      <c r="AI495" s="1594"/>
      <c r="AJ495" s="1594"/>
      <c r="AK495" s="1594"/>
      <c r="AL495" s="1594"/>
      <c r="AM495" s="534"/>
    </row>
    <row r="496" spans="1:39">
      <c r="A496" s="1589">
        <v>36</v>
      </c>
      <c r="B496" s="142" t="s">
        <v>1163</v>
      </c>
      <c r="C496" s="1592"/>
      <c r="D496" s="155" t="s">
        <v>2077</v>
      </c>
      <c r="E496" s="1592"/>
      <c r="F496" s="155" t="s">
        <v>1796</v>
      </c>
      <c r="G496" s="1592"/>
      <c r="H496" s="167"/>
      <c r="I496" s="1592"/>
      <c r="J496" s="1592"/>
      <c r="K496" s="1592"/>
      <c r="L496" s="1592"/>
      <c r="M496" s="1592"/>
      <c r="N496" s="1592"/>
      <c r="O496" s="1592"/>
      <c r="P496" s="1592"/>
      <c r="Q496" s="277" t="s">
        <v>1452</v>
      </c>
      <c r="R496" s="1592"/>
      <c r="S496" s="1592"/>
      <c r="T496" s="1592"/>
      <c r="U496" s="252" t="s">
        <v>1036</v>
      </c>
      <c r="V496" s="1600"/>
      <c r="W496" s="317"/>
      <c r="X496" s="317"/>
      <c r="Y496" s="317"/>
      <c r="Z496" s="317"/>
      <c r="AA496" s="1594"/>
      <c r="AB496" s="669"/>
      <c r="AC496" s="317"/>
      <c r="AD496" s="1594"/>
      <c r="AE496" s="1594"/>
      <c r="AF496" s="1594"/>
      <c r="AG496" s="1594"/>
      <c r="AH496" s="1594"/>
      <c r="AI496" s="1594"/>
      <c r="AJ496" s="1594"/>
      <c r="AK496" s="1594"/>
      <c r="AL496" s="1594"/>
      <c r="AM496" s="534"/>
    </row>
    <row r="497" spans="1:39">
      <c r="A497" s="1599"/>
      <c r="B497" s="1592"/>
      <c r="C497" s="1592"/>
      <c r="D497" s="156"/>
      <c r="E497" s="1592"/>
      <c r="F497" s="156"/>
      <c r="G497" s="1592"/>
      <c r="H497" s="167"/>
      <c r="I497" s="1592"/>
      <c r="J497" s="1592"/>
      <c r="K497" s="1592"/>
      <c r="L497" s="1592"/>
      <c r="M497" s="1592"/>
      <c r="N497" s="1592"/>
      <c r="O497" s="1592"/>
      <c r="P497" s="1592"/>
      <c r="Q497" s="156" t="s">
        <v>1314</v>
      </c>
      <c r="R497" s="1592"/>
      <c r="S497" s="1592"/>
      <c r="T497" s="1592"/>
      <c r="U497" s="253" t="s">
        <v>1314</v>
      </c>
      <c r="V497" s="1600"/>
      <c r="W497" s="317"/>
      <c r="X497" s="317"/>
      <c r="Y497" s="317"/>
      <c r="Z497" s="317"/>
      <c r="AA497" s="1594"/>
      <c r="AB497" s="1594"/>
      <c r="AC497" s="317"/>
      <c r="AD497" s="1594"/>
      <c r="AE497" s="1594"/>
      <c r="AF497" s="1594"/>
      <c r="AG497" s="1594"/>
      <c r="AH497" s="1594"/>
      <c r="AI497" s="1594"/>
      <c r="AJ497" s="1594"/>
      <c r="AK497" s="1594"/>
      <c r="AL497" s="1594"/>
      <c r="AM497" s="534"/>
    </row>
    <row r="498" spans="1:39">
      <c r="A498" s="1584"/>
      <c r="B498" s="1595" t="s">
        <v>1546</v>
      </c>
      <c r="C498" s="1595"/>
      <c r="D498" s="262"/>
      <c r="E498" s="1595"/>
      <c r="F498" s="262"/>
      <c r="G498" s="1594"/>
      <c r="Q498" s="317"/>
      <c r="R498" s="1594"/>
      <c r="S498" s="1594"/>
      <c r="T498" s="1594"/>
      <c r="U498" s="621"/>
      <c r="V498" s="499"/>
    </row>
    <row r="499" spans="1:39">
      <c r="A499" s="1584"/>
      <c r="B499" s="1595" t="s">
        <v>1164</v>
      </c>
      <c r="C499" s="1595"/>
      <c r="D499" s="331"/>
      <c r="E499" s="1595"/>
      <c r="F499" s="331"/>
      <c r="G499" s="1594"/>
      <c r="Q499" s="317"/>
      <c r="R499" s="1594"/>
      <c r="S499" s="1594"/>
      <c r="T499" s="1594"/>
      <c r="U499" s="621"/>
      <c r="V499" s="499"/>
    </row>
    <row r="500" spans="1:39">
      <c r="A500" s="1584"/>
      <c r="B500" s="142" t="s">
        <v>359</v>
      </c>
      <c r="C500" s="142"/>
      <c r="D500" s="287"/>
      <c r="E500" s="142"/>
      <c r="F500" s="287"/>
      <c r="G500" s="1594"/>
      <c r="Q500" s="136">
        <f>SUM(Q498:Q499)</f>
        <v>0</v>
      </c>
      <c r="R500" s="1594"/>
      <c r="S500" s="1594"/>
      <c r="T500" s="1594"/>
      <c r="U500" s="227"/>
      <c r="V500" s="499"/>
    </row>
    <row r="501" spans="1:39">
      <c r="A501" s="1584"/>
      <c r="B501" s="1595" t="s">
        <v>1567</v>
      </c>
      <c r="C501" s="1595"/>
      <c r="D501" s="331"/>
      <c r="E501" s="1595"/>
      <c r="F501" s="331"/>
      <c r="G501" s="1594"/>
      <c r="Q501" s="317"/>
      <c r="R501" s="1594"/>
      <c r="S501" s="1594"/>
      <c r="T501" s="1594"/>
      <c r="U501" s="621"/>
      <c r="V501" s="499"/>
    </row>
    <row r="502" spans="1:39">
      <c r="A502" s="1584"/>
      <c r="B502" s="1595" t="s">
        <v>1165</v>
      </c>
      <c r="C502" s="1595"/>
      <c r="D502" s="327"/>
      <c r="E502" s="1595"/>
      <c r="F502" s="327"/>
      <c r="G502" s="1594"/>
      <c r="Q502" s="317"/>
      <c r="R502" s="1594"/>
      <c r="S502" s="1594"/>
      <c r="T502" s="1594"/>
      <c r="U502" s="621"/>
      <c r="V502" s="499"/>
    </row>
    <row r="503" spans="1:39">
      <c r="A503" s="1584"/>
      <c r="B503" s="1595"/>
      <c r="C503" s="1595"/>
      <c r="D503" s="325"/>
      <c r="E503" s="1595"/>
      <c r="F503" s="325"/>
      <c r="G503" s="1594"/>
      <c r="Q503" s="317"/>
      <c r="R503" s="1594"/>
      <c r="S503" s="1594"/>
      <c r="T503" s="1594"/>
      <c r="U503" s="621"/>
      <c r="V503" s="499"/>
    </row>
    <row r="504" spans="1:39" ht="13.5" thickBot="1">
      <c r="A504" s="1584"/>
      <c r="B504" s="142" t="s">
        <v>1166</v>
      </c>
      <c r="C504" s="142"/>
      <c r="D504" s="143">
        <f>SUM(D500:D502)</f>
        <v>0</v>
      </c>
      <c r="E504" s="142"/>
      <c r="F504" s="143">
        <f>SUM(F500:F502)</f>
        <v>0</v>
      </c>
      <c r="G504" s="1594"/>
      <c r="Q504" s="143">
        <f>SUM(Q500:Q502)</f>
        <v>0</v>
      </c>
      <c r="R504" s="1594"/>
      <c r="S504" s="1594"/>
      <c r="T504" s="1594"/>
      <c r="U504" s="246">
        <f>SUM(U500:U502)</f>
        <v>0</v>
      </c>
      <c r="V504" s="499"/>
    </row>
    <row r="505" spans="1:39" ht="13.5" thickTop="1">
      <c r="A505" s="279"/>
      <c r="B505" s="314"/>
      <c r="C505" s="314"/>
      <c r="D505" s="315"/>
      <c r="E505" s="314"/>
      <c r="F505" s="315"/>
      <c r="G505" s="314"/>
      <c r="Q505" s="315"/>
      <c r="R505" s="314"/>
      <c r="S505" s="314"/>
      <c r="T505" s="314"/>
      <c r="U505" s="634"/>
      <c r="V505" s="635"/>
    </row>
    <row r="506" spans="1:39">
      <c r="A506" s="280"/>
      <c r="B506" s="321"/>
      <c r="C506" s="321"/>
      <c r="D506" s="322"/>
      <c r="E506" s="321"/>
      <c r="F506" s="322"/>
      <c r="G506" s="321"/>
      <c r="Q506" s="322"/>
      <c r="R506" s="321"/>
      <c r="S506" s="321"/>
      <c r="T506" s="321"/>
      <c r="U506" s="622"/>
      <c r="V506" s="623"/>
    </row>
    <row r="507" spans="1:39">
      <c r="A507" s="1589">
        <v>37</v>
      </c>
      <c r="B507" s="141" t="s">
        <v>2202</v>
      </c>
      <c r="C507" s="1585"/>
      <c r="D507" s="140" t="s">
        <v>2077</v>
      </c>
      <c r="E507" s="1585"/>
      <c r="F507" s="140" t="s">
        <v>1796</v>
      </c>
      <c r="G507" s="1585"/>
      <c r="H507" s="184"/>
      <c r="I507" s="1585"/>
      <c r="J507" s="1585"/>
      <c r="K507" s="1585"/>
      <c r="L507" s="1585"/>
      <c r="M507" s="1585"/>
      <c r="N507" s="1585"/>
      <c r="O507" s="1585"/>
      <c r="P507" s="1585"/>
      <c r="Q507" s="276" t="s">
        <v>1452</v>
      </c>
      <c r="R507" s="1585"/>
      <c r="S507" s="1585"/>
      <c r="T507" s="1585"/>
      <c r="U507" s="225" t="s">
        <v>1036</v>
      </c>
      <c r="V507" s="1586"/>
    </row>
    <row r="508" spans="1:39">
      <c r="A508" s="1584"/>
      <c r="B508" s="1585"/>
      <c r="C508" s="1585"/>
      <c r="D508" s="1191"/>
      <c r="E508" s="1585"/>
      <c r="F508" s="1191"/>
      <c r="G508" s="1585"/>
      <c r="H508" s="184"/>
      <c r="I508" s="1585"/>
      <c r="J508" s="1585"/>
      <c r="K508" s="1585"/>
      <c r="L508" s="1585"/>
      <c r="M508" s="1585"/>
      <c r="N508" s="1585"/>
      <c r="O508" s="1585"/>
      <c r="P508" s="1585"/>
      <c r="Q508" s="1191" t="s">
        <v>1314</v>
      </c>
      <c r="R508" s="1585"/>
      <c r="S508" s="1585"/>
      <c r="T508" s="1585"/>
      <c r="U508" s="226" t="s">
        <v>1314</v>
      </c>
      <c r="V508" s="1586"/>
    </row>
    <row r="509" spans="1:39">
      <c r="A509" s="1584"/>
      <c r="B509" s="1595" t="s">
        <v>1167</v>
      </c>
      <c r="C509" s="1595"/>
      <c r="D509" s="325"/>
      <c r="E509" s="1595"/>
      <c r="F509" s="325"/>
      <c r="G509" s="1595"/>
      <c r="H509" s="241"/>
      <c r="I509" s="1595"/>
      <c r="J509" s="1595"/>
      <c r="K509" s="1595"/>
      <c r="L509" s="1595"/>
      <c r="M509" s="1595"/>
      <c r="N509" s="1595"/>
      <c r="O509" s="1595"/>
      <c r="P509" s="1595"/>
      <c r="Q509" s="317"/>
      <c r="R509" s="1594"/>
      <c r="S509" s="1594"/>
      <c r="T509" s="1594"/>
      <c r="U509" s="621"/>
      <c r="V509" s="499"/>
    </row>
    <row r="510" spans="1:39" ht="13.5" thickBot="1">
      <c r="A510" s="1584"/>
      <c r="B510" s="142" t="s">
        <v>1168</v>
      </c>
      <c r="C510" s="142"/>
      <c r="D510" s="154">
        <f>SUM(D512:D514)</f>
        <v>2006505.27</v>
      </c>
      <c r="E510" s="142"/>
      <c r="F510" s="154">
        <f>SUM(F512:F514)</f>
        <v>13003259.560000001</v>
      </c>
      <c r="G510" s="1595"/>
      <c r="H510" s="241"/>
      <c r="I510" s="1595"/>
      <c r="J510" s="1595"/>
      <c r="K510" s="1595"/>
      <c r="L510" s="1595"/>
      <c r="M510" s="1595"/>
      <c r="N510" s="1595"/>
      <c r="O510" s="1595"/>
      <c r="P510" s="1595"/>
      <c r="Q510" s="136">
        <f>SUM(Q512:Q514)</f>
        <v>0</v>
      </c>
      <c r="R510" s="1594"/>
      <c r="S510" s="1594"/>
      <c r="T510" s="1594"/>
      <c r="U510" s="227">
        <f>SUM(U512:U514)</f>
        <v>0</v>
      </c>
      <c r="V510" s="499"/>
    </row>
    <row r="511" spans="1:39" ht="13.5" thickTop="1">
      <c r="A511" s="1584"/>
      <c r="B511" s="142"/>
      <c r="C511" s="142"/>
      <c r="D511" s="144"/>
      <c r="E511" s="142"/>
      <c r="F511" s="144"/>
      <c r="G511" s="1595"/>
      <c r="H511" s="241"/>
      <c r="I511" s="1595"/>
      <c r="J511" s="1595"/>
      <c r="K511" s="1595"/>
      <c r="L511" s="1595"/>
      <c r="M511" s="1595"/>
      <c r="N511" s="1595"/>
      <c r="O511" s="1595"/>
      <c r="P511" s="1595"/>
      <c r="Q511" s="136"/>
      <c r="R511" s="1594"/>
      <c r="S511" s="1594"/>
      <c r="T511" s="1594"/>
      <c r="U511" s="227"/>
      <c r="V511" s="499"/>
    </row>
    <row r="512" spans="1:39">
      <c r="A512" s="1584"/>
      <c r="B512" s="1595" t="s">
        <v>1169</v>
      </c>
      <c r="C512" s="1595"/>
      <c r="D512" s="262"/>
      <c r="E512" s="1595"/>
      <c r="F512" s="262">
        <f>933000+2616262.73</f>
        <v>3549262.73</v>
      </c>
      <c r="G512" s="1595"/>
      <c r="H512" s="241"/>
      <c r="I512" s="1595"/>
      <c r="J512" s="1595"/>
      <c r="K512" s="1595"/>
      <c r="L512" s="1595"/>
      <c r="M512" s="1595"/>
      <c r="N512" s="1595"/>
      <c r="O512" s="1595"/>
      <c r="P512" s="1595"/>
      <c r="Q512" s="624">
        <v>0</v>
      </c>
      <c r="R512" s="1594"/>
      <c r="S512" s="1594"/>
      <c r="T512" s="1594"/>
      <c r="U512" s="625"/>
      <c r="V512" s="499"/>
    </row>
    <row r="513" spans="1:22">
      <c r="A513" s="1584"/>
      <c r="B513" s="1595" t="s">
        <v>1170</v>
      </c>
      <c r="C513" s="1595"/>
      <c r="D513" s="331">
        <v>2006505.27</v>
      </c>
      <c r="E513" s="1595"/>
      <c r="F513" s="331">
        <v>9453996.8300000001</v>
      </c>
      <c r="G513" s="1594"/>
      <c r="Q513" s="539">
        <v>0</v>
      </c>
      <c r="R513" s="1594"/>
      <c r="S513" s="1594"/>
      <c r="T513" s="1594"/>
      <c r="U513" s="626"/>
      <c r="V513" s="499"/>
    </row>
    <row r="514" spans="1:22">
      <c r="A514" s="1584"/>
      <c r="B514" s="1595" t="s">
        <v>1266</v>
      </c>
      <c r="C514" s="1595"/>
      <c r="D514" s="327"/>
      <c r="E514" s="1595"/>
      <c r="F514" s="327"/>
      <c r="G514" s="1594"/>
      <c r="Q514" s="563">
        <v>0</v>
      </c>
      <c r="R514" s="1594"/>
      <c r="S514" s="1594"/>
      <c r="T514" s="1594"/>
      <c r="U514" s="648"/>
      <c r="V514" s="499"/>
    </row>
    <row r="515" spans="1:22">
      <c r="A515" s="1584"/>
      <c r="B515" s="1595"/>
      <c r="C515" s="1595"/>
      <c r="D515" s="325"/>
      <c r="E515" s="1595"/>
      <c r="F515" s="325"/>
      <c r="G515" s="1594"/>
      <c r="Q515" s="317"/>
      <c r="R515" s="1594"/>
      <c r="S515" s="1594"/>
      <c r="T515" s="1594"/>
      <c r="U515" s="621"/>
      <c r="V515" s="499"/>
    </row>
    <row r="516" spans="1:22" ht="13.5" thickBot="1">
      <c r="A516" s="1584"/>
      <c r="B516" s="142" t="s">
        <v>2040</v>
      </c>
      <c r="C516" s="1595"/>
      <c r="D516" s="410">
        <f>SUM(D518:D522)</f>
        <v>19093139.830000002</v>
      </c>
      <c r="E516" s="1595"/>
      <c r="F516" s="410">
        <f>SUM(F518:F522)</f>
        <v>11870881.82</v>
      </c>
      <c r="G516" s="1594"/>
      <c r="Q516" s="317"/>
      <c r="R516" s="1594"/>
      <c r="S516" s="1594"/>
      <c r="T516" s="1594"/>
      <c r="U516" s="621"/>
      <c r="V516" s="499"/>
    </row>
    <row r="517" spans="1:22" ht="13.5" thickTop="1">
      <c r="A517" s="1584"/>
      <c r="B517" s="1595"/>
      <c r="C517" s="1595"/>
      <c r="D517" s="325"/>
      <c r="E517" s="1595"/>
      <c r="F517" s="325"/>
      <c r="G517" s="1594"/>
      <c r="Q517" s="317"/>
      <c r="R517" s="1594"/>
      <c r="S517" s="1594"/>
      <c r="T517" s="1594"/>
      <c r="U517" s="621"/>
      <c r="V517" s="499"/>
    </row>
    <row r="518" spans="1:22">
      <c r="A518" s="1584"/>
      <c r="B518" s="1595" t="s">
        <v>2041</v>
      </c>
      <c r="C518" s="1595"/>
      <c r="D518" s="262">
        <f>376200+1328137.24</f>
        <v>1704337.24</v>
      </c>
      <c r="E518" s="1595"/>
      <c r="F518" s="262">
        <v>3398691.5</v>
      </c>
      <c r="G518" s="1594"/>
      <c r="Q518" s="539"/>
      <c r="R518" s="1594"/>
      <c r="S518" s="1594"/>
      <c r="T518" s="1594"/>
      <c r="U518" s="626"/>
      <c r="V518" s="499"/>
    </row>
    <row r="519" spans="1:22">
      <c r="A519" s="1584"/>
      <c r="B519" s="1595" t="s">
        <v>2043</v>
      </c>
      <c r="C519" s="1595"/>
      <c r="D519" s="331">
        <v>9058043.4299999997</v>
      </c>
      <c r="E519" s="1595"/>
      <c r="F519" s="331">
        <v>5511563.0700000003</v>
      </c>
      <c r="G519" s="1594"/>
      <c r="Q519" s="539"/>
      <c r="R519" s="1594"/>
      <c r="S519" s="1594"/>
      <c r="T519" s="1594"/>
      <c r="U519" s="626"/>
      <c r="V519" s="499"/>
    </row>
    <row r="520" spans="1:22">
      <c r="A520" s="1584"/>
      <c r="B520" s="1595" t="s">
        <v>2044</v>
      </c>
      <c r="C520" s="1595"/>
      <c r="D520" s="331">
        <v>3411050.64</v>
      </c>
      <c r="E520" s="1595"/>
      <c r="F520" s="331">
        <v>1111604.8799999999</v>
      </c>
      <c r="G520" s="1594"/>
      <c r="Q520" s="539"/>
      <c r="R520" s="1594"/>
      <c r="S520" s="1594"/>
      <c r="T520" s="1594"/>
      <c r="U520" s="626"/>
      <c r="V520" s="499"/>
    </row>
    <row r="521" spans="1:22">
      <c r="A521" s="1584"/>
      <c r="B521" s="1595" t="s">
        <v>1304</v>
      </c>
      <c r="C521" s="1595"/>
      <c r="D521" s="331">
        <v>4389187.5599999996</v>
      </c>
      <c r="E521" s="1595"/>
      <c r="F521" s="331">
        <v>1549022.37</v>
      </c>
      <c r="G521" s="1594"/>
      <c r="Q521" s="539"/>
      <c r="R521" s="1594"/>
      <c r="S521" s="1594"/>
      <c r="T521" s="1594"/>
      <c r="U521" s="626"/>
      <c r="V521" s="499"/>
    </row>
    <row r="522" spans="1:22">
      <c r="A522" s="1584"/>
      <c r="B522" s="1595" t="s">
        <v>2042</v>
      </c>
      <c r="C522" s="1595"/>
      <c r="D522" s="327">
        <v>530520.96</v>
      </c>
      <c r="E522" s="1595"/>
      <c r="F522" s="327">
        <v>300000</v>
      </c>
      <c r="G522" s="1594"/>
      <c r="Q522" s="563"/>
      <c r="R522" s="1594"/>
      <c r="S522" s="1594"/>
      <c r="T522" s="1594"/>
      <c r="U522" s="648"/>
      <c r="V522" s="499"/>
    </row>
    <row r="523" spans="1:22">
      <c r="A523" s="1584"/>
      <c r="B523" s="1595"/>
      <c r="C523" s="1595"/>
      <c r="D523" s="325"/>
      <c r="E523" s="1595"/>
      <c r="F523" s="325"/>
      <c r="G523" s="1594"/>
      <c r="Q523" s="317"/>
      <c r="R523" s="1594"/>
      <c r="S523" s="1594"/>
      <c r="T523" s="1594"/>
      <c r="U523" s="621"/>
      <c r="V523" s="499"/>
    </row>
    <row r="524" spans="1:22">
      <c r="A524" s="1584"/>
      <c r="B524" s="142" t="s">
        <v>1267</v>
      </c>
      <c r="C524" s="142"/>
      <c r="D524" s="144"/>
      <c r="E524" s="142"/>
      <c r="F524" s="144"/>
      <c r="G524" s="1594"/>
      <c r="Q524" s="136">
        <f>SUM(Q525:Q529)</f>
        <v>0</v>
      </c>
      <c r="R524" s="1594"/>
      <c r="S524" s="1594"/>
      <c r="T524" s="1594"/>
      <c r="U524" s="227">
        <f>SUM(U525:U529)</f>
        <v>0</v>
      </c>
      <c r="V524" s="499"/>
    </row>
    <row r="525" spans="1:22">
      <c r="A525" s="1584"/>
      <c r="B525" s="1595" t="s">
        <v>1268</v>
      </c>
      <c r="C525" s="1595"/>
      <c r="D525" s="262"/>
      <c r="E525" s="1595"/>
      <c r="F525" s="262"/>
      <c r="G525" s="1594"/>
      <c r="Q525" s="624"/>
      <c r="R525" s="1594"/>
      <c r="S525" s="1594"/>
      <c r="T525" s="1594"/>
      <c r="U525" s="625"/>
      <c r="V525" s="499"/>
    </row>
    <row r="526" spans="1:22">
      <c r="A526" s="1584"/>
      <c r="B526" s="1595" t="s">
        <v>1169</v>
      </c>
      <c r="C526" s="1595"/>
      <c r="D526" s="331"/>
      <c r="E526" s="1595"/>
      <c r="F526" s="331"/>
      <c r="G526" s="1594"/>
      <c r="Q526" s="539"/>
      <c r="R526" s="1594"/>
      <c r="S526" s="1594"/>
      <c r="T526" s="1594"/>
      <c r="U526" s="626"/>
      <c r="V526" s="499"/>
    </row>
    <row r="527" spans="1:22">
      <c r="A527" s="1584"/>
      <c r="B527" s="1595" t="s">
        <v>1170</v>
      </c>
      <c r="C527" s="1595"/>
      <c r="D527" s="331"/>
      <c r="E527" s="1595"/>
      <c r="F527" s="331"/>
      <c r="G527" s="1594"/>
      <c r="Q527" s="539"/>
      <c r="R527" s="1594"/>
      <c r="S527" s="1594"/>
      <c r="T527" s="1594"/>
      <c r="U527" s="626"/>
      <c r="V527" s="499"/>
    </row>
    <row r="528" spans="1:22">
      <c r="A528" s="1584"/>
      <c r="B528" s="1595" t="s">
        <v>1266</v>
      </c>
      <c r="C528" s="1595"/>
      <c r="D528" s="331"/>
      <c r="E528" s="1595"/>
      <c r="F528" s="331"/>
      <c r="G528" s="1594"/>
      <c r="Q528" s="539"/>
      <c r="R528" s="1594"/>
      <c r="S528" s="1594"/>
      <c r="T528" s="1594"/>
      <c r="U528" s="626"/>
      <c r="V528" s="499"/>
    </row>
    <row r="529" spans="1:22">
      <c r="A529" s="1584"/>
      <c r="B529" s="1595" t="s">
        <v>1269</v>
      </c>
      <c r="C529" s="1595"/>
      <c r="D529" s="327"/>
      <c r="E529" s="1595"/>
      <c r="F529" s="327"/>
      <c r="G529" s="1594"/>
      <c r="Q529" s="563"/>
      <c r="R529" s="1594"/>
      <c r="S529" s="1594"/>
      <c r="T529" s="1594"/>
      <c r="U529" s="648">
        <v>0</v>
      </c>
      <c r="V529" s="499"/>
    </row>
    <row r="530" spans="1:22">
      <c r="A530" s="1584"/>
      <c r="B530" s="1595"/>
      <c r="C530" s="1595"/>
      <c r="D530" s="325"/>
      <c r="E530" s="1595"/>
      <c r="F530" s="325"/>
      <c r="G530" s="1594"/>
      <c r="Q530" s="317"/>
      <c r="R530" s="1594"/>
      <c r="S530" s="1594"/>
      <c r="T530" s="1594"/>
      <c r="U530" s="621"/>
      <c r="V530" s="499"/>
    </row>
    <row r="531" spans="1:22" ht="13.5" thickBot="1">
      <c r="A531" s="1584"/>
      <c r="B531" s="142" t="s">
        <v>1108</v>
      </c>
      <c r="C531" s="142"/>
      <c r="D531" s="143">
        <f>D510+D516</f>
        <v>21099645.100000001</v>
      </c>
      <c r="E531" s="142"/>
      <c r="F531" s="143">
        <f>F510+F516</f>
        <v>24874141.380000003</v>
      </c>
      <c r="G531" s="1594"/>
      <c r="Q531" s="143">
        <f>Q524+Q510</f>
        <v>0</v>
      </c>
      <c r="R531" s="1594"/>
      <c r="S531" s="1594"/>
      <c r="T531" s="1594"/>
      <c r="U531" s="246">
        <f>U524+U510</f>
        <v>0</v>
      </c>
      <c r="V531" s="499"/>
    </row>
    <row r="532" spans="1:22" ht="13.5" thickTop="1">
      <c r="A532" s="1584"/>
      <c r="B532" s="142"/>
      <c r="C532" s="142"/>
      <c r="D532" s="144"/>
      <c r="E532" s="142"/>
      <c r="F532" s="144"/>
      <c r="G532" s="1594"/>
      <c r="Q532" s="317"/>
      <c r="R532" s="1594"/>
      <c r="S532" s="1594"/>
      <c r="T532" s="1594"/>
      <c r="U532" s="621"/>
      <c r="V532" s="499"/>
    </row>
    <row r="533" spans="1:22">
      <c r="A533" s="1584"/>
      <c r="B533" s="142" t="s">
        <v>1270</v>
      </c>
      <c r="C533" s="142"/>
      <c r="D533" s="144"/>
      <c r="E533" s="142"/>
      <c r="F533" s="144"/>
      <c r="G533" s="1594"/>
      <c r="Q533" s="317"/>
      <c r="R533" s="1594"/>
      <c r="S533" s="1594"/>
      <c r="T533" s="1594"/>
      <c r="U533" s="621"/>
      <c r="V533" s="499"/>
    </row>
    <row r="534" spans="1:22">
      <c r="A534" s="1584"/>
      <c r="B534" s="1595" t="s">
        <v>1271</v>
      </c>
      <c r="C534" s="1595"/>
      <c r="D534" s="262"/>
      <c r="E534" s="1595"/>
      <c r="F534" s="262"/>
      <c r="G534" s="1594"/>
      <c r="Q534" s="624">
        <v>0</v>
      </c>
      <c r="R534" s="1594"/>
      <c r="S534" s="1594"/>
      <c r="T534" s="1594"/>
      <c r="U534" s="625"/>
      <c r="V534" s="499"/>
    </row>
    <row r="535" spans="1:22">
      <c r="A535" s="1584"/>
      <c r="B535" s="1595" t="s">
        <v>1566</v>
      </c>
      <c r="C535" s="1595"/>
      <c r="D535" s="331">
        <v>19093139.73</v>
      </c>
      <c r="E535" s="1595"/>
      <c r="F535" s="331">
        <v>13931141</v>
      </c>
      <c r="G535" s="1594"/>
      <c r="Q535" s="539">
        <v>0</v>
      </c>
      <c r="R535" s="1594"/>
      <c r="S535" s="1594"/>
      <c r="T535" s="1594"/>
      <c r="U535" s="626"/>
      <c r="V535" s="499"/>
    </row>
    <row r="536" spans="1:22">
      <c r="A536" s="1584"/>
      <c r="B536" s="1595" t="s">
        <v>1272</v>
      </c>
      <c r="C536" s="1595"/>
      <c r="D536" s="327">
        <v>2006505.27</v>
      </c>
      <c r="E536" s="1595"/>
      <c r="F536" s="327">
        <v>10943000</v>
      </c>
      <c r="G536" s="1594"/>
      <c r="Q536" s="563">
        <v>0</v>
      </c>
      <c r="R536" s="1594"/>
      <c r="S536" s="1594"/>
      <c r="T536" s="1594"/>
      <c r="U536" s="648"/>
      <c r="V536" s="499"/>
    </row>
    <row r="537" spans="1:22">
      <c r="A537" s="1584"/>
      <c r="B537" s="1595"/>
      <c r="C537" s="1595"/>
      <c r="D537" s="325"/>
      <c r="E537" s="1595"/>
      <c r="F537" s="325"/>
      <c r="G537" s="1594"/>
      <c r="Q537" s="317"/>
      <c r="R537" s="1594"/>
      <c r="S537" s="1594"/>
      <c r="T537" s="1594"/>
      <c r="U537" s="621"/>
      <c r="V537" s="499"/>
    </row>
    <row r="538" spans="1:22" ht="13.5" thickBot="1">
      <c r="A538" s="1584"/>
      <c r="B538" s="142" t="s">
        <v>1108</v>
      </c>
      <c r="C538" s="142"/>
      <c r="D538" s="143">
        <f>SUM(D534:D536)</f>
        <v>21099645</v>
      </c>
      <c r="E538" s="142"/>
      <c r="F538" s="143">
        <f>SUM(F534:F536)</f>
        <v>24874141</v>
      </c>
      <c r="G538" s="1594"/>
      <c r="Q538" s="143">
        <f>SUM(Q534:Q536)</f>
        <v>0</v>
      </c>
      <c r="R538" s="1594"/>
      <c r="S538" s="1594"/>
      <c r="T538" s="1594"/>
      <c r="U538" s="246">
        <f>SUM(U534:U536)</f>
        <v>0</v>
      </c>
      <c r="V538" s="499"/>
    </row>
    <row r="539" spans="1:22" ht="13.5" thickTop="1">
      <c r="A539" s="1584"/>
      <c r="B539" s="142"/>
      <c r="C539" s="142"/>
      <c r="D539" s="136"/>
      <c r="E539" s="142"/>
      <c r="F539" s="136"/>
      <c r="G539" s="1594"/>
      <c r="Q539" s="136"/>
      <c r="R539" s="1594"/>
      <c r="S539" s="1594"/>
      <c r="T539" s="1594"/>
      <c r="U539" s="227"/>
      <c r="V539" s="499"/>
    </row>
    <row r="540" spans="1:22">
      <c r="A540" s="1584"/>
      <c r="B540" s="142"/>
      <c r="C540" s="142"/>
      <c r="D540" s="136"/>
      <c r="E540" s="142"/>
      <c r="F540" s="136"/>
      <c r="G540" s="1594"/>
      <c r="Q540" s="136"/>
      <c r="R540" s="1594"/>
      <c r="S540" s="1594"/>
      <c r="T540" s="1594"/>
      <c r="U540" s="227"/>
      <c r="V540" s="499"/>
    </row>
    <row r="541" spans="1:22">
      <c r="A541" s="1584">
        <v>38</v>
      </c>
      <c r="B541" s="135" t="s">
        <v>327</v>
      </c>
      <c r="C541" s="1594"/>
      <c r="D541" s="140" t="s">
        <v>2077</v>
      </c>
      <c r="E541" s="1594"/>
      <c r="F541" s="140" t="s">
        <v>1796</v>
      </c>
      <c r="G541" s="1594"/>
      <c r="Q541" s="136"/>
      <c r="R541" s="1594"/>
      <c r="S541" s="1594"/>
      <c r="T541" s="1594"/>
      <c r="U541" s="227"/>
      <c r="V541" s="499"/>
    </row>
    <row r="542" spans="1:22">
      <c r="A542" s="1584"/>
      <c r="B542" s="670"/>
      <c r="C542" s="670"/>
      <c r="D542" s="671"/>
      <c r="E542" s="670"/>
      <c r="F542" s="671" t="s">
        <v>1433</v>
      </c>
      <c r="G542" s="670"/>
      <c r="H542" s="985"/>
      <c r="I542" s="670"/>
      <c r="J542" s="670"/>
      <c r="K542" s="670"/>
      <c r="Q542" s="136"/>
      <c r="R542" s="1594"/>
      <c r="S542" s="1594"/>
      <c r="T542" s="1594"/>
      <c r="U542" s="227"/>
      <c r="V542" s="499"/>
    </row>
    <row r="543" spans="1:22">
      <c r="A543" s="1584"/>
      <c r="B543" s="135" t="s">
        <v>2023</v>
      </c>
      <c r="C543" s="1594"/>
      <c r="D543" s="317"/>
      <c r="E543" s="1594"/>
      <c r="F543" s="317"/>
      <c r="G543" s="1594"/>
      <c r="Q543" s="136"/>
      <c r="R543" s="1594"/>
      <c r="S543" s="1594"/>
      <c r="T543" s="1594"/>
      <c r="U543" s="227"/>
      <c r="V543" s="499"/>
    </row>
    <row r="544" spans="1:22">
      <c r="A544" s="1584"/>
      <c r="B544" s="1594" t="s">
        <v>1941</v>
      </c>
      <c r="C544" s="1594"/>
      <c r="D544" s="317"/>
      <c r="E544" s="1594"/>
      <c r="F544" s="317">
        <v>0</v>
      </c>
      <c r="G544" s="1594"/>
      <c r="Q544" s="136"/>
      <c r="R544" s="1594"/>
      <c r="S544" s="1594"/>
      <c r="T544" s="1594"/>
      <c r="U544" s="227"/>
      <c r="V544" s="499"/>
    </row>
    <row r="545" spans="1:22">
      <c r="A545" s="1584"/>
      <c r="B545" s="1594" t="s">
        <v>1942</v>
      </c>
      <c r="C545" s="1594"/>
      <c r="D545" s="317"/>
      <c r="E545" s="1594"/>
      <c r="F545" s="317">
        <v>16467.3</v>
      </c>
      <c r="G545" s="1594"/>
      <c r="Q545" s="136"/>
      <c r="R545" s="1594"/>
      <c r="S545" s="1594"/>
      <c r="T545" s="1594"/>
      <c r="U545" s="227"/>
      <c r="V545" s="499"/>
    </row>
    <row r="546" spans="1:22">
      <c r="A546" s="1584"/>
      <c r="B546" s="1594" t="s">
        <v>2455</v>
      </c>
      <c r="C546" s="1594"/>
      <c r="D546" s="317">
        <v>36656.97</v>
      </c>
      <c r="E546" s="1594"/>
      <c r="F546" s="317"/>
      <c r="G546" s="1594"/>
      <c r="Q546" s="136"/>
      <c r="R546" s="1594"/>
      <c r="S546" s="1594"/>
      <c r="T546" s="1594"/>
      <c r="U546" s="227"/>
      <c r="V546" s="499"/>
    </row>
    <row r="547" spans="1:22">
      <c r="A547" s="1584"/>
      <c r="B547" s="1594"/>
      <c r="C547" s="1594"/>
      <c r="D547" s="317"/>
      <c r="E547" s="1594"/>
      <c r="F547" s="317">
        <v>0</v>
      </c>
      <c r="G547" s="1594"/>
      <c r="Q547" s="136"/>
      <c r="R547" s="1594"/>
      <c r="S547" s="1594"/>
      <c r="T547" s="1594"/>
      <c r="U547" s="227"/>
      <c r="V547" s="499"/>
    </row>
    <row r="548" spans="1:22" ht="13.5" thickBot="1">
      <c r="A548" s="1584"/>
      <c r="B548" s="135" t="s">
        <v>1943</v>
      </c>
      <c r="C548" s="1594"/>
      <c r="D548" s="143">
        <f>SUM(D544:D547)</f>
        <v>36656.97</v>
      </c>
      <c r="E548" s="1594"/>
      <c r="F548" s="143">
        <f>SUM(F544:F547)</f>
        <v>16467.3</v>
      </c>
      <c r="G548" s="1594"/>
      <c r="Q548" s="136"/>
      <c r="R548" s="1594"/>
      <c r="S548" s="1594"/>
      <c r="T548" s="1594"/>
      <c r="U548" s="227"/>
      <c r="V548" s="499"/>
    </row>
    <row r="549" spans="1:22" ht="13.5" thickTop="1">
      <c r="A549" s="1584"/>
      <c r="B549" s="135"/>
      <c r="C549" s="1594"/>
      <c r="D549" s="317"/>
      <c r="E549" s="1594"/>
      <c r="F549" s="317"/>
      <c r="G549" s="1594"/>
      <c r="Q549" s="136"/>
      <c r="R549" s="1594"/>
      <c r="S549" s="1594"/>
      <c r="T549" s="1594"/>
      <c r="U549" s="227"/>
      <c r="V549" s="499"/>
    </row>
    <row r="550" spans="1:22">
      <c r="A550" s="1584"/>
      <c r="B550" s="135" t="s">
        <v>2024</v>
      </c>
      <c r="C550" s="1594"/>
      <c r="D550" s="317"/>
      <c r="E550" s="1594"/>
      <c r="F550" s="317"/>
      <c r="G550" s="1594"/>
      <c r="Q550" s="136"/>
      <c r="R550" s="1594"/>
      <c r="S550" s="1594"/>
      <c r="T550" s="1594"/>
      <c r="U550" s="227"/>
      <c r="V550" s="499"/>
    </row>
    <row r="551" spans="1:22">
      <c r="A551" s="1584"/>
      <c r="B551" s="135"/>
      <c r="C551" s="1594"/>
      <c r="D551" s="317"/>
      <c r="E551" s="1594"/>
      <c r="F551" s="317"/>
      <c r="G551" s="1594"/>
      <c r="Q551" s="136"/>
      <c r="R551" s="1594"/>
      <c r="S551" s="1594"/>
      <c r="T551" s="1594"/>
      <c r="U551" s="227"/>
      <c r="V551" s="499"/>
    </row>
    <row r="552" spans="1:22">
      <c r="A552" s="1584"/>
      <c r="B552" s="1594" t="s">
        <v>1941</v>
      </c>
      <c r="C552" s="1594"/>
      <c r="D552" s="317"/>
      <c r="E552" s="1594"/>
      <c r="F552" s="317">
        <v>122119</v>
      </c>
      <c r="G552" s="1594"/>
      <c r="Q552" s="136"/>
      <c r="R552" s="1594"/>
      <c r="S552" s="1594"/>
      <c r="T552" s="1594"/>
      <c r="U552" s="227"/>
      <c r="V552" s="499"/>
    </row>
    <row r="553" spans="1:22">
      <c r="A553" s="1584"/>
      <c r="B553" s="1594" t="s">
        <v>1942</v>
      </c>
      <c r="C553" s="1594"/>
      <c r="D553" s="317"/>
      <c r="E553" s="1594"/>
      <c r="F553" s="317">
        <v>94625.96</v>
      </c>
      <c r="G553" s="1594"/>
      <c r="Q553" s="136"/>
      <c r="R553" s="1594"/>
      <c r="S553" s="1594"/>
      <c r="T553" s="1594"/>
      <c r="U553" s="227"/>
      <c r="V553" s="499"/>
    </row>
    <row r="554" spans="1:22">
      <c r="A554" s="1584"/>
      <c r="B554" s="1594" t="s">
        <v>2455</v>
      </c>
      <c r="C554" s="1594"/>
      <c r="D554" s="317">
        <v>268507.65000000002</v>
      </c>
      <c r="E554" s="1594"/>
      <c r="F554" s="317"/>
      <c r="G554" s="1594"/>
      <c r="Q554" s="136"/>
      <c r="R554" s="1594"/>
      <c r="S554" s="1594"/>
      <c r="T554" s="1594"/>
      <c r="U554" s="227"/>
      <c r="V554" s="499"/>
    </row>
    <row r="555" spans="1:22" ht="13.5" thickBot="1">
      <c r="A555" s="1584"/>
      <c r="B555" s="135" t="s">
        <v>1943</v>
      </c>
      <c r="C555" s="1594"/>
      <c r="D555" s="143">
        <f>SUM(D552:D554)</f>
        <v>268507.65000000002</v>
      </c>
      <c r="E555" s="1594"/>
      <c r="F555" s="143">
        <f>SUM(F552:F554)</f>
        <v>216744.96000000002</v>
      </c>
      <c r="G555" s="1594"/>
      <c r="Q555" s="136"/>
      <c r="R555" s="1594"/>
      <c r="S555" s="1594"/>
      <c r="T555" s="1594"/>
      <c r="U555" s="227"/>
      <c r="V555" s="499"/>
    </row>
    <row r="556" spans="1:22" ht="13.5" thickTop="1">
      <c r="A556" s="1632"/>
      <c r="B556" s="135"/>
      <c r="C556" s="1634"/>
      <c r="D556" s="136"/>
      <c r="E556" s="1634"/>
      <c r="F556" s="136"/>
      <c r="G556" s="1634"/>
      <c r="I556" s="1634"/>
      <c r="J556" s="1634"/>
      <c r="K556" s="1634"/>
      <c r="L556" s="1634"/>
      <c r="M556" s="1634"/>
      <c r="N556" s="1634"/>
      <c r="O556" s="1634"/>
      <c r="P556" s="1634"/>
      <c r="Q556" s="136"/>
      <c r="R556" s="1634"/>
      <c r="S556" s="1634"/>
      <c r="T556" s="1634"/>
      <c r="U556" s="227"/>
      <c r="V556" s="499"/>
    </row>
    <row r="557" spans="1:22" ht="13.5" thickBot="1">
      <c r="A557" s="1584"/>
      <c r="B557" s="135" t="s">
        <v>2928</v>
      </c>
      <c r="C557" s="1594"/>
      <c r="D557" s="143">
        <f>D548+D555</f>
        <v>305164.62</v>
      </c>
      <c r="E557" s="1594"/>
      <c r="F557" s="143">
        <f>F548+F555</f>
        <v>233212.26</v>
      </c>
      <c r="G557" s="1594"/>
      <c r="Q557" s="136"/>
      <c r="R557" s="1594"/>
      <c r="S557" s="1594"/>
      <c r="T557" s="1594"/>
      <c r="U557" s="227"/>
      <c r="V557" s="499"/>
    </row>
    <row r="558" spans="1:22" ht="51" customHeight="1" thickTop="1">
      <c r="A558" s="1584"/>
      <c r="B558" s="1594"/>
      <c r="C558" s="1594"/>
      <c r="D558" s="671" t="s">
        <v>1993</v>
      </c>
      <c r="E558" s="1594"/>
      <c r="F558" s="670" t="s">
        <v>1541</v>
      </c>
      <c r="G558" s="335"/>
      <c r="H558" s="985" t="s">
        <v>1542</v>
      </c>
      <c r="I558" s="335" t="s">
        <v>1108</v>
      </c>
      <c r="K558" s="335"/>
      <c r="Q558" s="136"/>
      <c r="R558" s="1594"/>
      <c r="S558" s="1594"/>
      <c r="T558" s="1594"/>
      <c r="U558" s="227"/>
      <c r="V558" s="499"/>
    </row>
    <row r="559" spans="1:22">
      <c r="A559" s="1584"/>
      <c r="B559" s="1594"/>
      <c r="C559" s="1594"/>
      <c r="D559" s="671" t="s">
        <v>1314</v>
      </c>
      <c r="E559" s="1594"/>
      <c r="F559" s="670" t="s">
        <v>1314</v>
      </c>
      <c r="G559" s="335"/>
      <c r="H559" s="985" t="s">
        <v>1314</v>
      </c>
      <c r="I559" s="670" t="s">
        <v>1314</v>
      </c>
      <c r="K559" s="670"/>
      <c r="Q559" s="136"/>
      <c r="R559" s="1594"/>
      <c r="S559" s="1594"/>
      <c r="T559" s="1594"/>
      <c r="U559" s="227"/>
      <c r="V559" s="499"/>
    </row>
    <row r="560" spans="1:22">
      <c r="A560" s="1584"/>
      <c r="B560" s="211">
        <v>2011</v>
      </c>
      <c r="C560" s="211"/>
      <c r="D560" s="317"/>
      <c r="E560" s="211"/>
      <c r="F560" s="737"/>
      <c r="G560" s="1594"/>
      <c r="Q560" s="136"/>
      <c r="R560" s="1594"/>
      <c r="S560" s="1594"/>
      <c r="T560" s="1594"/>
      <c r="U560" s="227"/>
      <c r="V560" s="499"/>
    </row>
    <row r="561" spans="1:22">
      <c r="A561" s="1584"/>
      <c r="B561" s="1594"/>
      <c r="C561" s="1594"/>
      <c r="D561" s="317"/>
      <c r="E561" s="1594"/>
      <c r="F561" s="737"/>
      <c r="G561" s="1594"/>
      <c r="Q561" s="136"/>
      <c r="R561" s="1594"/>
      <c r="S561" s="1594"/>
      <c r="T561" s="1594"/>
      <c r="U561" s="227"/>
      <c r="V561" s="499"/>
    </row>
    <row r="562" spans="1:22">
      <c r="A562" s="1584"/>
      <c r="B562" s="211" t="s">
        <v>1543</v>
      </c>
      <c r="C562" s="211"/>
      <c r="D562" s="317">
        <f>D554</f>
        <v>268507.65000000002</v>
      </c>
      <c r="E562" s="211"/>
      <c r="F562" s="317">
        <f>D546</f>
        <v>36656.97</v>
      </c>
      <c r="G562" s="317"/>
      <c r="H562" s="316">
        <v>0</v>
      </c>
      <c r="I562" s="317">
        <f>SUM(D562:F562)</f>
        <v>305164.62</v>
      </c>
      <c r="K562" s="317"/>
      <c r="Q562" s="136"/>
      <c r="R562" s="1594"/>
      <c r="S562" s="1594"/>
      <c r="T562" s="1594"/>
      <c r="U562" s="227"/>
      <c r="V562" s="499"/>
    </row>
    <row r="563" spans="1:22">
      <c r="A563" s="1584"/>
      <c r="B563" s="211" t="s">
        <v>1340</v>
      </c>
      <c r="C563" s="211"/>
      <c r="D563" s="317"/>
      <c r="E563" s="211"/>
      <c r="F563" s="317"/>
      <c r="G563" s="317"/>
      <c r="I563" s="317">
        <v>0</v>
      </c>
      <c r="K563" s="317"/>
      <c r="Q563" s="136"/>
      <c r="R563" s="1594"/>
      <c r="S563" s="1594"/>
      <c r="T563" s="1594"/>
      <c r="U563" s="227"/>
      <c r="V563" s="499"/>
    </row>
    <row r="564" spans="1:22" ht="13.5" thickBot="1">
      <c r="A564" s="1584"/>
      <c r="B564" s="211" t="s">
        <v>1544</v>
      </c>
      <c r="C564" s="211"/>
      <c r="D564" s="637">
        <f>D562-D563</f>
        <v>268507.65000000002</v>
      </c>
      <c r="E564" s="211"/>
      <c r="F564" s="637">
        <f>F562-F563</f>
        <v>36656.97</v>
      </c>
      <c r="G564" s="317"/>
      <c r="H564" s="1146">
        <f>H562-H563</f>
        <v>0</v>
      </c>
      <c r="I564" s="637">
        <f>I562-I563</f>
        <v>305164.62</v>
      </c>
      <c r="K564" s="317"/>
      <c r="Q564" s="136"/>
      <c r="R564" s="1594"/>
      <c r="S564" s="1594"/>
      <c r="T564" s="1594"/>
      <c r="U564" s="227"/>
      <c r="V564" s="499"/>
    </row>
    <row r="565" spans="1:22" ht="13.5" thickTop="1">
      <c r="A565" s="1584"/>
      <c r="B565" s="1594"/>
      <c r="C565" s="1594"/>
      <c r="D565" s="317"/>
      <c r="E565" s="1594"/>
      <c r="F565" s="317"/>
      <c r="G565" s="317"/>
      <c r="I565" s="317"/>
      <c r="K565" s="317"/>
      <c r="Q565" s="136"/>
      <c r="R565" s="1594"/>
      <c r="S565" s="1594"/>
      <c r="T565" s="1594"/>
      <c r="U565" s="227"/>
      <c r="V565" s="499"/>
    </row>
    <row r="566" spans="1:22">
      <c r="A566" s="1584"/>
      <c r="B566" s="211">
        <v>2010</v>
      </c>
      <c r="C566" s="211"/>
      <c r="D566" s="317"/>
      <c r="E566" s="211"/>
      <c r="F566" s="317"/>
      <c r="G566" s="317"/>
      <c r="I566" s="317"/>
      <c r="K566" s="317"/>
      <c r="Q566" s="136"/>
      <c r="R566" s="1594"/>
      <c r="S566" s="1594"/>
      <c r="T566" s="1594"/>
      <c r="U566" s="227"/>
      <c r="V566" s="499"/>
    </row>
    <row r="567" spans="1:22">
      <c r="A567" s="1584"/>
      <c r="B567" s="1594"/>
      <c r="C567" s="1594"/>
      <c r="D567" s="317"/>
      <c r="E567" s="1594"/>
      <c r="F567" s="317"/>
      <c r="G567" s="317"/>
      <c r="I567" s="317"/>
      <c r="K567" s="317"/>
      <c r="Q567" s="136"/>
      <c r="R567" s="1594"/>
      <c r="S567" s="1594"/>
      <c r="T567" s="1594"/>
      <c r="U567" s="227"/>
      <c r="V567" s="499"/>
    </row>
    <row r="568" spans="1:22">
      <c r="A568" s="1584"/>
      <c r="B568" s="211" t="s">
        <v>1543</v>
      </c>
      <c r="C568" s="211"/>
      <c r="D568" s="317">
        <f>122119+F553</f>
        <v>216744.96000000002</v>
      </c>
      <c r="E568" s="211"/>
      <c r="F568" s="317">
        <f>F545</f>
        <v>16467.3</v>
      </c>
      <c r="G568" s="317"/>
      <c r="I568" s="317">
        <f>SUM(D568:F568)</f>
        <v>233212.26</v>
      </c>
      <c r="K568" s="317"/>
      <c r="Q568" s="136"/>
      <c r="R568" s="1594"/>
      <c r="S568" s="1594"/>
      <c r="T568" s="1594"/>
      <c r="U568" s="227"/>
      <c r="V568" s="499"/>
    </row>
    <row r="569" spans="1:22">
      <c r="A569" s="1584"/>
      <c r="B569" s="211" t="s">
        <v>1873</v>
      </c>
      <c r="C569" s="211"/>
      <c r="D569" s="317"/>
      <c r="E569" s="211"/>
      <c r="F569" s="317"/>
      <c r="G569" s="317"/>
      <c r="I569" s="317">
        <v>0</v>
      </c>
      <c r="K569" s="317"/>
      <c r="Q569" s="136"/>
      <c r="R569" s="1594"/>
      <c r="S569" s="1594"/>
      <c r="T569" s="1594"/>
      <c r="U569" s="227"/>
      <c r="V569" s="499"/>
    </row>
    <row r="570" spans="1:22" ht="13.5" thickBot="1">
      <c r="A570" s="1584"/>
      <c r="B570" s="211" t="s">
        <v>1544</v>
      </c>
      <c r="C570" s="211"/>
      <c r="D570" s="637">
        <f>D568-D569</f>
        <v>216744.96000000002</v>
      </c>
      <c r="E570" s="211"/>
      <c r="F570" s="637">
        <f>F568-F569</f>
        <v>16467.3</v>
      </c>
      <c r="G570" s="317"/>
      <c r="H570" s="1146">
        <f>H568-H569</f>
        <v>0</v>
      </c>
      <c r="I570" s="1636">
        <f>I568-I569</f>
        <v>233212.26</v>
      </c>
      <c r="K570" s="317"/>
      <c r="Q570" s="136"/>
      <c r="R570" s="1594"/>
      <c r="S570" s="1594"/>
      <c r="T570" s="1594"/>
      <c r="U570" s="227"/>
      <c r="V570" s="499"/>
    </row>
    <row r="571" spans="1:22" ht="13.5" thickTop="1">
      <c r="A571" s="1584"/>
      <c r="B571" s="1594"/>
      <c r="C571" s="1594"/>
      <c r="D571" s="317"/>
      <c r="E571" s="1594"/>
      <c r="F571" s="317"/>
      <c r="G571" s="316"/>
      <c r="J571" s="317"/>
      <c r="K571" s="317"/>
      <c r="Q571" s="136"/>
      <c r="R571" s="1594"/>
      <c r="S571" s="1594"/>
      <c r="T571" s="1594"/>
      <c r="U571" s="227"/>
      <c r="V571" s="499"/>
    </row>
    <row r="572" spans="1:22">
      <c r="A572" s="1584"/>
      <c r="B572" s="1594"/>
      <c r="C572" s="1594"/>
      <c r="D572" s="317"/>
      <c r="E572" s="1594"/>
      <c r="F572" s="317"/>
      <c r="G572" s="1594"/>
      <c r="Q572" s="322"/>
      <c r="R572" s="321"/>
      <c r="S572" s="321"/>
      <c r="T572" s="321"/>
      <c r="U572" s="622"/>
      <c r="V572" s="623"/>
    </row>
    <row r="573" spans="1:22" ht="25.5">
      <c r="A573" s="1589">
        <v>39</v>
      </c>
      <c r="B573" s="142" t="s">
        <v>1998</v>
      </c>
      <c r="C573" s="1594"/>
      <c r="D573" s="1590"/>
      <c r="E573" s="1594"/>
      <c r="F573" s="1590"/>
      <c r="G573" s="1594"/>
      <c r="Q573" s="276" t="s">
        <v>1452</v>
      </c>
      <c r="R573" s="1585"/>
      <c r="S573" s="1585"/>
      <c r="T573" s="1585"/>
      <c r="U573" s="225" t="s">
        <v>1036</v>
      </c>
      <c r="V573" s="499"/>
    </row>
    <row r="574" spans="1:22">
      <c r="A574" s="1584"/>
      <c r="B574" s="1594"/>
      <c r="C574" s="1594"/>
      <c r="D574" s="317"/>
      <c r="E574" s="1594"/>
      <c r="F574" s="317"/>
      <c r="G574" s="1594"/>
      <c r="Q574" s="1191" t="s">
        <v>1314</v>
      </c>
      <c r="R574" s="1585"/>
      <c r="S574" s="1585"/>
      <c r="T574" s="1585"/>
      <c r="U574" s="226" t="s">
        <v>1314</v>
      </c>
      <c r="V574" s="499"/>
    </row>
    <row r="575" spans="1:22">
      <c r="A575" s="1584"/>
      <c r="B575" s="1594"/>
      <c r="C575" s="1594"/>
      <c r="D575" s="317"/>
      <c r="E575" s="1594"/>
      <c r="F575" s="317"/>
      <c r="G575" s="1594"/>
      <c r="Q575" s="317"/>
      <c r="R575" s="1594"/>
      <c r="S575" s="1594"/>
      <c r="T575" s="1594"/>
      <c r="U575" s="621"/>
      <c r="V575" s="499"/>
    </row>
    <row r="576" spans="1:22">
      <c r="A576" s="1584">
        <v>39.1</v>
      </c>
      <c r="B576" s="142" t="s">
        <v>1273</v>
      </c>
      <c r="C576" s="142"/>
      <c r="D576" s="140" t="s">
        <v>2077</v>
      </c>
      <c r="E576" s="1594"/>
      <c r="F576" s="140" t="s">
        <v>1796</v>
      </c>
      <c r="G576" s="1594"/>
      <c r="Q576" s="317"/>
      <c r="R576" s="1594"/>
      <c r="S576" s="1594"/>
      <c r="T576" s="1594"/>
      <c r="U576" s="621"/>
      <c r="V576" s="499"/>
    </row>
    <row r="577" spans="1:23">
      <c r="A577" s="1584"/>
      <c r="B577" s="142"/>
      <c r="C577" s="142"/>
      <c r="D577" s="1590"/>
      <c r="E577" s="1594"/>
      <c r="F577" s="1590"/>
      <c r="G577" s="1594"/>
      <c r="Q577" s="317"/>
      <c r="R577" s="1594"/>
      <c r="S577" s="1594"/>
      <c r="T577" s="1594"/>
      <c r="U577" s="621"/>
      <c r="V577" s="499"/>
    </row>
    <row r="578" spans="1:23">
      <c r="A578" s="1584"/>
      <c r="B578" s="313" t="s">
        <v>1382</v>
      </c>
      <c r="C578" s="1595"/>
      <c r="D578" s="262"/>
      <c r="E578" s="1595"/>
      <c r="F578" s="262"/>
      <c r="G578" s="1594"/>
      <c r="Q578" s="317"/>
      <c r="R578" s="1594"/>
      <c r="S578" s="1594"/>
      <c r="T578" s="1594"/>
      <c r="U578" s="621"/>
      <c r="V578" s="499"/>
    </row>
    <row r="579" spans="1:23">
      <c r="A579" s="1584"/>
      <c r="B579" s="313" t="s">
        <v>2156</v>
      </c>
      <c r="C579" s="1595"/>
      <c r="D579" s="331">
        <f>'TRAIL BALANCE'!F49</f>
        <v>434544.12</v>
      </c>
      <c r="E579" s="1595"/>
      <c r="F579" s="331">
        <f>'TRAIL BALANCE'!E49</f>
        <v>262197.42</v>
      </c>
      <c r="G579" s="1594"/>
      <c r="Q579" s="317" t="e">
        <f>SUM('TRAIL BALANCE'!#REF!)</f>
        <v>#REF!</v>
      </c>
      <c r="R579" s="1594"/>
      <c r="S579" s="1594"/>
      <c r="T579" s="1594"/>
      <c r="U579" s="621" t="e">
        <f>SUM('TRAIL BALANCE'!#REF!)</f>
        <v>#REF!</v>
      </c>
      <c r="V579" s="499"/>
      <c r="W579" s="312" t="s">
        <v>36</v>
      </c>
    </row>
    <row r="580" spans="1:23">
      <c r="A580" s="1584"/>
      <c r="B580" s="313" t="s">
        <v>2153</v>
      </c>
      <c r="C580" s="1595"/>
      <c r="D580" s="327"/>
      <c r="E580" s="1595"/>
      <c r="F580" s="327"/>
      <c r="G580" s="1594"/>
      <c r="Q580" s="317"/>
      <c r="R580" s="1594"/>
      <c r="S580" s="1594"/>
      <c r="T580" s="1594"/>
      <c r="U580" s="621"/>
      <c r="V580" s="499"/>
      <c r="W580" s="312"/>
    </row>
    <row r="581" spans="1:23">
      <c r="A581" s="1584"/>
      <c r="C581" s="1595"/>
      <c r="D581" s="325"/>
      <c r="E581" s="1595"/>
      <c r="F581" s="325"/>
      <c r="G581" s="1594"/>
      <c r="Q581" s="317"/>
      <c r="R581" s="1594"/>
      <c r="S581" s="1594"/>
      <c r="T581" s="1594"/>
      <c r="U581" s="621"/>
      <c r="V581" s="499"/>
      <c r="W581" s="312"/>
    </row>
    <row r="582" spans="1:23" ht="13.5" thickBot="1">
      <c r="A582" s="1584"/>
      <c r="B582" s="141" t="s">
        <v>2154</v>
      </c>
      <c r="C582" s="142"/>
      <c r="D582" s="143">
        <f>SUM(D578:D579)</f>
        <v>434544.12</v>
      </c>
      <c r="E582" s="142"/>
      <c r="F582" s="143">
        <f>SUM(F578:F579)</f>
        <v>262197.42</v>
      </c>
      <c r="G582" s="1594"/>
      <c r="Q582" s="143" t="e">
        <f>SUM(Q578:Q579)</f>
        <v>#REF!</v>
      </c>
      <c r="R582" s="1594"/>
      <c r="S582" s="1594"/>
      <c r="T582" s="1594"/>
      <c r="U582" s="246" t="e">
        <f>SUM(U578:U579)</f>
        <v>#REF!</v>
      </c>
      <c r="V582" s="499"/>
    </row>
    <row r="583" spans="1:23" ht="13.5" thickTop="1">
      <c r="A583" s="1584"/>
      <c r="B583" s="1594"/>
      <c r="C583" s="1594"/>
      <c r="D583" s="317"/>
      <c r="E583" s="1594"/>
      <c r="F583" s="317"/>
      <c r="G583" s="1594"/>
      <c r="Q583" s="317"/>
      <c r="R583" s="1594"/>
      <c r="S583" s="1594"/>
      <c r="T583" s="1594"/>
      <c r="U583" s="621"/>
      <c r="V583" s="499"/>
    </row>
    <row r="584" spans="1:23">
      <c r="A584" s="1584">
        <v>39.200000000000003</v>
      </c>
      <c r="B584" s="141" t="s">
        <v>2155</v>
      </c>
      <c r="C584" s="142"/>
      <c r="D584" s="140" t="s">
        <v>2077</v>
      </c>
      <c r="E584" s="1594"/>
      <c r="F584" s="140" t="s">
        <v>1796</v>
      </c>
      <c r="G584" s="1594"/>
      <c r="Q584" s="317"/>
      <c r="R584" s="1594"/>
      <c r="S584" s="1594"/>
      <c r="T584" s="1594"/>
      <c r="U584" s="621"/>
      <c r="V584" s="499"/>
    </row>
    <row r="585" spans="1:23">
      <c r="A585" s="1584"/>
      <c r="B585" s="141"/>
      <c r="C585" s="1595"/>
      <c r="D585" s="325"/>
      <c r="E585" s="1595"/>
      <c r="F585" s="325"/>
      <c r="G585" s="1594"/>
      <c r="Q585" s="317"/>
      <c r="R585" s="1594"/>
      <c r="S585" s="1594"/>
      <c r="T585" s="1594"/>
      <c r="U585" s="621"/>
      <c r="V585" s="499"/>
    </row>
    <row r="586" spans="1:23">
      <c r="A586" s="1584"/>
      <c r="B586" s="313" t="s">
        <v>1382</v>
      </c>
      <c r="C586" s="1595"/>
      <c r="D586" s="262">
        <f>F591</f>
        <v>3501051.99</v>
      </c>
      <c r="E586" s="1595"/>
      <c r="F586" s="262">
        <v>0</v>
      </c>
      <c r="G586" s="1594"/>
      <c r="Q586" s="317" t="e">
        <f>SUM('TRAIL BALANCE'!#REF!)</f>
        <v>#REF!</v>
      </c>
      <c r="R586" s="1594"/>
      <c r="S586" s="1594"/>
      <c r="T586" s="1594"/>
      <c r="U586" s="621" t="e">
        <f>SUM('TRAIL BALANCE'!#REF!)</f>
        <v>#REF!</v>
      </c>
      <c r="V586" s="499"/>
      <c r="W586" s="312" t="s">
        <v>36</v>
      </c>
    </row>
    <row r="587" spans="1:23">
      <c r="A587" s="1584"/>
      <c r="B587" s="313" t="s">
        <v>1275</v>
      </c>
      <c r="C587" s="1595"/>
      <c r="D587" s="331">
        <v>1515879</v>
      </c>
      <c r="E587" s="1595"/>
      <c r="F587" s="331">
        <f>'TRAIL BALANCE'!E208+'TRAIL BALANCE'!E209</f>
        <v>2165150.9900000002</v>
      </c>
      <c r="G587" s="1594"/>
      <c r="Q587" s="317"/>
      <c r="R587" s="1594"/>
      <c r="S587" s="1594"/>
      <c r="T587" s="1594"/>
      <c r="U587" s="621"/>
      <c r="V587" s="499"/>
      <c r="W587" s="312"/>
    </row>
    <row r="588" spans="1:23">
      <c r="A588" s="1584"/>
      <c r="B588" s="313" t="s">
        <v>2152</v>
      </c>
      <c r="C588" s="1595"/>
      <c r="D588" s="331">
        <v>-2563733.5099999998</v>
      </c>
      <c r="E588" s="1595"/>
      <c r="F588" s="331">
        <v>1335901</v>
      </c>
      <c r="G588" s="1594"/>
      <c r="Q588" s="317"/>
      <c r="R588" s="1594"/>
      <c r="S588" s="1594"/>
      <c r="T588" s="1594"/>
      <c r="U588" s="621"/>
      <c r="V588" s="499"/>
      <c r="W588" s="312"/>
    </row>
    <row r="589" spans="1:23">
      <c r="A589" s="1584"/>
      <c r="B589" s="313" t="s">
        <v>2153</v>
      </c>
      <c r="C589" s="1595"/>
      <c r="D589" s="327"/>
      <c r="E589" s="1595"/>
      <c r="F589" s="327"/>
      <c r="G589" s="1594"/>
      <c r="Q589" s="317"/>
      <c r="R589" s="1594"/>
      <c r="S589" s="1594"/>
      <c r="T589" s="1594"/>
      <c r="U589" s="621"/>
      <c r="V589" s="499"/>
      <c r="W589" s="312"/>
    </row>
    <row r="590" spans="1:23">
      <c r="A590" s="1584"/>
      <c r="C590" s="1595"/>
      <c r="D590" s="325"/>
      <c r="E590" s="1595"/>
      <c r="F590" s="325"/>
      <c r="G590" s="1594"/>
      <c r="Q590" s="317"/>
      <c r="R590" s="1594"/>
      <c r="S590" s="1594"/>
      <c r="T590" s="1594"/>
      <c r="U590" s="621"/>
      <c r="V590" s="499"/>
      <c r="W590" s="312"/>
    </row>
    <row r="591" spans="1:23" ht="13.5" thickBot="1">
      <c r="A591" s="1584"/>
      <c r="B591" s="141" t="s">
        <v>2154</v>
      </c>
      <c r="C591" s="1595"/>
      <c r="D591" s="410">
        <f>SUM(D586:D590)</f>
        <v>2453197.4800000004</v>
      </c>
      <c r="E591" s="1595"/>
      <c r="F591" s="410">
        <f>SUM(F586:F590)</f>
        <v>3501051.99</v>
      </c>
      <c r="G591" s="1594"/>
      <c r="Q591" s="317"/>
      <c r="R591" s="1594"/>
      <c r="S591" s="1594"/>
      <c r="T591" s="1594"/>
      <c r="U591" s="621"/>
      <c r="V591" s="499"/>
      <c r="W591" s="312"/>
    </row>
    <row r="592" spans="1:23" ht="13.5" thickTop="1">
      <c r="A592" s="1584"/>
      <c r="C592" s="142"/>
      <c r="D592" s="144"/>
      <c r="E592" s="142"/>
      <c r="F592" s="325"/>
      <c r="G592" s="1594"/>
      <c r="Q592" s="317"/>
      <c r="R592" s="1594"/>
      <c r="S592" s="1594"/>
      <c r="T592" s="1594"/>
      <c r="U592" s="621"/>
      <c r="V592" s="499"/>
      <c r="W592" s="312"/>
    </row>
    <row r="593" spans="1:23">
      <c r="A593" s="1584"/>
      <c r="B593" s="639"/>
      <c r="C593" s="142"/>
      <c r="D593" s="144"/>
      <c r="E593" s="142"/>
      <c r="F593" s="325"/>
      <c r="G593" s="1594"/>
      <c r="Q593" s="317"/>
      <c r="R593" s="1594"/>
      <c r="S593" s="1594"/>
      <c r="T593" s="1594"/>
      <c r="U593" s="621"/>
      <c r="V593" s="499"/>
      <c r="W593" s="312"/>
    </row>
    <row r="594" spans="1:23" ht="26.25" thickBot="1">
      <c r="A594" s="1584"/>
      <c r="B594" s="639" t="s">
        <v>2759</v>
      </c>
      <c r="C594" s="1594"/>
      <c r="D594" s="317"/>
      <c r="E594" s="1594"/>
      <c r="F594" s="136"/>
      <c r="G594" s="1594"/>
      <c r="Q594" s="143" t="e">
        <f>SUM(Q585:Q586)</f>
        <v>#REF!</v>
      </c>
      <c r="R594" s="1594"/>
      <c r="S594" s="1594"/>
      <c r="T594" s="1594"/>
      <c r="U594" s="246" t="e">
        <f>SUM(U585:U586)</f>
        <v>#REF!</v>
      </c>
      <c r="V594" s="499"/>
    </row>
    <row r="595" spans="1:23" ht="13.5" thickTop="1">
      <c r="A595" s="1584"/>
      <c r="B595" s="1594"/>
      <c r="C595" s="1594"/>
      <c r="D595" s="317"/>
      <c r="E595" s="1594"/>
      <c r="F595" s="317"/>
      <c r="G595" s="1594"/>
      <c r="Q595" s="317"/>
      <c r="R595" s="1594"/>
      <c r="S595" s="1594"/>
      <c r="T595" s="1594"/>
      <c r="U595" s="621"/>
      <c r="V595" s="499"/>
    </row>
    <row r="596" spans="1:23">
      <c r="A596" s="1584"/>
      <c r="B596" s="1594"/>
      <c r="C596" s="1594"/>
      <c r="D596" s="317"/>
      <c r="E596" s="1594"/>
      <c r="F596" s="317"/>
      <c r="G596" s="1594"/>
      <c r="Q596" s="317"/>
      <c r="R596" s="1594"/>
      <c r="S596" s="1594"/>
      <c r="T596" s="1594"/>
      <c r="U596" s="621"/>
      <c r="V596" s="499"/>
    </row>
    <row r="597" spans="1:23">
      <c r="A597" s="1584">
        <v>39.299999999999997</v>
      </c>
      <c r="B597" s="142" t="s">
        <v>532</v>
      </c>
      <c r="C597" s="142"/>
      <c r="D597" s="140" t="s">
        <v>2077</v>
      </c>
      <c r="E597" s="1594"/>
      <c r="F597" s="140" t="s">
        <v>1796</v>
      </c>
      <c r="G597" s="1594"/>
      <c r="Q597" s="317"/>
      <c r="R597" s="1594"/>
      <c r="S597" s="1594"/>
      <c r="T597" s="1594"/>
      <c r="U597" s="621"/>
      <c r="V597" s="499"/>
    </row>
    <row r="598" spans="1:23">
      <c r="A598" s="1584"/>
      <c r="B598" s="142"/>
      <c r="C598" s="142"/>
      <c r="D598" s="144"/>
      <c r="E598" s="142"/>
      <c r="F598" s="144"/>
      <c r="G598" s="1594"/>
      <c r="Q598" s="317"/>
      <c r="R598" s="1594"/>
      <c r="S598" s="1594"/>
      <c r="T598" s="1594"/>
      <c r="U598" s="621"/>
      <c r="V598" s="499"/>
    </row>
    <row r="599" spans="1:23">
      <c r="A599" s="1584"/>
      <c r="B599" s="142" t="s">
        <v>1276</v>
      </c>
      <c r="C599" s="142"/>
      <c r="D599" s="214">
        <v>12535392</v>
      </c>
      <c r="E599" s="142"/>
      <c r="F599" s="214"/>
      <c r="G599" s="1594"/>
      <c r="Q599" s="317"/>
      <c r="R599" s="1594"/>
      <c r="S599" s="1594"/>
      <c r="T599" s="1594"/>
      <c r="U599" s="621"/>
      <c r="V599" s="499"/>
    </row>
    <row r="600" spans="1:23">
      <c r="A600" s="1584"/>
      <c r="B600" s="1595" t="s">
        <v>1382</v>
      </c>
      <c r="C600" s="1595"/>
      <c r="D600" s="331"/>
      <c r="E600" s="1595"/>
      <c r="F600" s="331"/>
      <c r="G600" s="1594"/>
      <c r="Q600" s="317"/>
      <c r="R600" s="1594"/>
      <c r="S600" s="1594"/>
      <c r="T600" s="1594"/>
      <c r="U600" s="621"/>
      <c r="V600" s="499"/>
    </row>
    <row r="601" spans="1:23">
      <c r="A601" s="1584"/>
      <c r="B601" s="1595" t="s">
        <v>1277</v>
      </c>
      <c r="C601" s="1595"/>
      <c r="D601" s="331">
        <v>0</v>
      </c>
      <c r="E601" s="1595"/>
      <c r="F601" s="331">
        <v>8100970.8399999999</v>
      </c>
      <c r="G601" s="1594"/>
      <c r="Q601" s="317">
        <v>6624163.7000000002</v>
      </c>
      <c r="R601" s="1594"/>
      <c r="S601" s="1594"/>
      <c r="T601" s="1594"/>
      <c r="U601" s="621">
        <v>4793221</v>
      </c>
      <c r="V601" s="499"/>
    </row>
    <row r="602" spans="1:23">
      <c r="A602" s="1584"/>
      <c r="B602" s="142" t="s">
        <v>1278</v>
      </c>
      <c r="C602" s="142"/>
      <c r="D602" s="287">
        <v>-9430376</v>
      </c>
      <c r="E602" s="142"/>
      <c r="F602" s="287"/>
      <c r="G602" s="1594"/>
      <c r="Q602" s="317"/>
      <c r="R602" s="1594"/>
      <c r="S602" s="1594"/>
      <c r="T602" s="1594"/>
      <c r="U602" s="621"/>
      <c r="V602" s="499"/>
      <c r="W602" s="316" t="s">
        <v>36</v>
      </c>
    </row>
    <row r="603" spans="1:23">
      <c r="A603" s="1584"/>
      <c r="B603" s="1595" t="s">
        <v>1279</v>
      </c>
      <c r="C603" s="1595"/>
      <c r="D603" s="331">
        <v>-2750826.74</v>
      </c>
      <c r="E603" s="1595"/>
      <c r="F603" s="331">
        <v>-10180280.25</v>
      </c>
      <c r="G603" s="1594"/>
      <c r="Q603" s="317">
        <v>-9053366.8699999992</v>
      </c>
      <c r="R603" s="1594"/>
      <c r="S603" s="1594"/>
      <c r="T603" s="1594"/>
      <c r="U603" s="621"/>
      <c r="V603" s="499"/>
    </row>
    <row r="604" spans="1:23">
      <c r="A604" s="1584"/>
      <c r="B604" s="1595" t="s">
        <v>2015</v>
      </c>
      <c r="C604" s="1595"/>
      <c r="D604" s="327">
        <f>1031501.53+21177</f>
        <v>1052678.53</v>
      </c>
      <c r="E604" s="1595"/>
      <c r="F604" s="327">
        <v>117654</v>
      </c>
      <c r="G604" s="1594"/>
      <c r="Q604" s="317">
        <v>0</v>
      </c>
      <c r="R604" s="1594"/>
      <c r="S604" s="1594"/>
      <c r="T604" s="1594"/>
      <c r="U604" s="621">
        <v>6811756</v>
      </c>
      <c r="V604" s="499"/>
    </row>
    <row r="605" spans="1:23">
      <c r="A605" s="1584"/>
      <c r="B605" s="1595"/>
      <c r="C605" s="1595"/>
      <c r="D605" s="325"/>
      <c r="E605" s="1595"/>
      <c r="F605" s="325"/>
      <c r="G605" s="1594"/>
      <c r="Q605" s="317"/>
      <c r="R605" s="1594"/>
      <c r="S605" s="1594"/>
      <c r="T605" s="1594"/>
      <c r="U605" s="621"/>
      <c r="V605" s="499"/>
    </row>
    <row r="606" spans="1:23" ht="13.5" thickBot="1">
      <c r="A606" s="1584"/>
      <c r="B606" s="142" t="s">
        <v>328</v>
      </c>
      <c r="C606" s="142"/>
      <c r="D606" s="143">
        <f>SUM(D599:D604)</f>
        <v>1406867.7899999998</v>
      </c>
      <c r="E606" s="142"/>
      <c r="F606" s="143">
        <f>SUM(F601:F604)</f>
        <v>-1961655.4100000001</v>
      </c>
      <c r="G606" s="1594"/>
      <c r="Q606" s="143">
        <f>SUM(Q601:Q604)</f>
        <v>-2429203.169999999</v>
      </c>
      <c r="R606" s="1594"/>
      <c r="S606" s="1594" t="s">
        <v>1205</v>
      </c>
      <c r="T606" s="1594"/>
      <c r="U606" s="246">
        <f>+U601-U604</f>
        <v>-2018535</v>
      </c>
      <c r="V606" s="499"/>
    </row>
    <row r="607" spans="1:23" ht="13.5" thickTop="1">
      <c r="A607" s="1584"/>
      <c r="B607" s="1594"/>
      <c r="C607" s="1594"/>
      <c r="D607" s="317"/>
      <c r="E607" s="1594"/>
      <c r="F607" s="317"/>
      <c r="G607" s="1594"/>
      <c r="Q607" s="317"/>
      <c r="R607" s="1594"/>
      <c r="S607" s="1594"/>
      <c r="T607" s="1594"/>
      <c r="U607" s="621"/>
      <c r="V607" s="499"/>
    </row>
    <row r="608" spans="1:23" ht="63.75">
      <c r="A608" s="281"/>
      <c r="B608" s="211" t="s">
        <v>1997</v>
      </c>
      <c r="C608" s="211"/>
      <c r="D608" s="328"/>
      <c r="E608" s="211"/>
      <c r="F608" s="328"/>
      <c r="G608" s="211"/>
      <c r="H608" s="329"/>
      <c r="I608" s="211"/>
      <c r="J608" s="211"/>
      <c r="K608" s="211"/>
      <c r="L608" s="211"/>
      <c r="M608" s="211"/>
      <c r="N608" s="211"/>
      <c r="O608" s="211"/>
      <c r="P608" s="211"/>
      <c r="Q608" s="211"/>
      <c r="R608" s="211"/>
      <c r="S608" s="211"/>
      <c r="T608" s="211"/>
      <c r="U608" s="645"/>
      <c r="V608" s="646"/>
    </row>
    <row r="609" spans="1:23">
      <c r="A609" s="1584"/>
      <c r="B609" s="1594"/>
      <c r="C609" s="1594"/>
      <c r="D609" s="317"/>
      <c r="E609" s="1594"/>
      <c r="F609" s="317"/>
      <c r="G609" s="1594"/>
      <c r="Q609" s="317"/>
      <c r="R609" s="1594"/>
      <c r="S609" s="1594"/>
      <c r="T609" s="1594"/>
      <c r="U609" s="621"/>
      <c r="V609" s="499"/>
    </row>
    <row r="610" spans="1:23">
      <c r="A610" s="1584">
        <v>39.4</v>
      </c>
      <c r="B610" s="142" t="s">
        <v>1199</v>
      </c>
      <c r="C610" s="142"/>
      <c r="D610" s="144"/>
      <c r="E610" s="142"/>
      <c r="F610" s="144"/>
      <c r="G610" s="1594"/>
      <c r="Q610" s="317"/>
      <c r="R610" s="1594"/>
      <c r="S610" s="1594"/>
      <c r="T610" s="1594"/>
      <c r="U610" s="621"/>
      <c r="V610" s="499"/>
    </row>
    <row r="611" spans="1:23">
      <c r="A611" s="1584"/>
      <c r="C611" s="142"/>
      <c r="D611" s="144"/>
      <c r="E611" s="142"/>
      <c r="F611" s="144"/>
      <c r="G611" s="1594"/>
      <c r="Q611" s="317"/>
      <c r="R611" s="1594"/>
      <c r="S611" s="1594"/>
      <c r="T611" s="1594"/>
      <c r="U611" s="621"/>
      <c r="V611" s="499"/>
    </row>
    <row r="612" spans="1:23">
      <c r="A612" s="1584"/>
      <c r="B612" s="313" t="s">
        <v>1382</v>
      </c>
      <c r="C612" s="1595"/>
      <c r="D612" s="262"/>
      <c r="E612" s="1595"/>
      <c r="F612" s="262" t="s">
        <v>36</v>
      </c>
      <c r="G612" s="1594"/>
      <c r="Q612" s="317"/>
      <c r="R612" s="1594"/>
      <c r="S612" s="1594"/>
      <c r="T612" s="1594"/>
      <c r="U612" s="621"/>
      <c r="V612" s="499"/>
    </row>
    <row r="613" spans="1:23">
      <c r="A613" s="1584"/>
      <c r="B613" s="313" t="s">
        <v>2157</v>
      </c>
      <c r="C613" s="1595"/>
      <c r="D613" s="331">
        <v>4779495</v>
      </c>
      <c r="E613" s="1595"/>
      <c r="F613" s="331"/>
      <c r="G613" s="1594"/>
      <c r="Q613" s="317"/>
      <c r="R613" s="1594"/>
      <c r="S613" s="1594"/>
      <c r="T613" s="1594"/>
      <c r="U613" s="621"/>
      <c r="V613" s="499"/>
    </row>
    <row r="614" spans="1:23">
      <c r="A614" s="1584"/>
      <c r="B614" s="313" t="s">
        <v>2152</v>
      </c>
      <c r="C614" s="1595"/>
      <c r="D614" s="331"/>
      <c r="E614" s="1595"/>
      <c r="F614" s="331">
        <v>3427626</v>
      </c>
      <c r="G614" s="1594"/>
      <c r="Q614" s="317">
        <v>3569632.86</v>
      </c>
      <c r="R614" s="1594"/>
      <c r="S614" s="1594"/>
      <c r="T614" s="1594"/>
      <c r="U614" s="621">
        <v>3078477</v>
      </c>
      <c r="V614" s="499"/>
      <c r="W614" s="316" t="s">
        <v>36</v>
      </c>
    </row>
    <row r="615" spans="1:23">
      <c r="A615" s="1584"/>
      <c r="B615" s="313" t="s">
        <v>2153</v>
      </c>
      <c r="C615" s="1595"/>
      <c r="D615" s="327"/>
      <c r="E615" s="1595"/>
      <c r="F615" s="327"/>
      <c r="G615" s="1594"/>
      <c r="Q615" s="317"/>
      <c r="R615" s="1594"/>
      <c r="S615" s="1594"/>
      <c r="T615" s="1594"/>
      <c r="U615" s="621"/>
      <c r="V615" s="499"/>
      <c r="W615" s="316"/>
    </row>
    <row r="616" spans="1:23">
      <c r="A616" s="1584"/>
      <c r="C616" s="1595"/>
      <c r="D616" s="325"/>
      <c r="E616" s="1595"/>
      <c r="F616" s="325"/>
      <c r="G616" s="1594"/>
      <c r="Q616" s="317"/>
      <c r="R616" s="1594"/>
      <c r="S616" s="1594"/>
      <c r="T616" s="1594"/>
      <c r="U616" s="621"/>
      <c r="V616" s="499"/>
      <c r="W616" s="316"/>
    </row>
    <row r="617" spans="1:23" ht="13.5" thickBot="1">
      <c r="A617" s="1584"/>
      <c r="B617" s="141" t="s">
        <v>2154</v>
      </c>
      <c r="C617" s="142"/>
      <c r="D617" s="143">
        <f>SUM(D612:D614)</f>
        <v>4779495</v>
      </c>
      <c r="E617" s="142"/>
      <c r="F617" s="143">
        <f>SUM(F612:F614)</f>
        <v>3427626</v>
      </c>
      <c r="G617" s="1594"/>
      <c r="Q617" s="143">
        <f>SUM(Q612:Q614)</f>
        <v>3569632.86</v>
      </c>
      <c r="R617" s="1594"/>
      <c r="S617" s="1594"/>
      <c r="T617" s="1594"/>
      <c r="U617" s="246">
        <f>SUM(U612:U614)</f>
        <v>3078477</v>
      </c>
      <c r="V617" s="499"/>
    </row>
    <row r="618" spans="1:23" ht="13.5" thickTop="1">
      <c r="A618" s="1584"/>
      <c r="B618" s="142"/>
      <c r="C618" s="142"/>
      <c r="D618" s="144"/>
      <c r="E618" s="142"/>
      <c r="F618" s="144"/>
      <c r="G618" s="1594"/>
      <c r="Q618" s="317"/>
      <c r="R618" s="1594"/>
      <c r="S618" s="1594"/>
      <c r="T618" s="1594"/>
      <c r="U618" s="621"/>
      <c r="V618" s="499"/>
    </row>
    <row r="619" spans="1:23">
      <c r="A619" s="1584">
        <v>39.5</v>
      </c>
      <c r="B619" s="142" t="s">
        <v>1202</v>
      </c>
      <c r="C619" s="142"/>
      <c r="D619" s="144"/>
      <c r="E619" s="142"/>
      <c r="F619" s="144"/>
      <c r="G619" s="1594"/>
      <c r="Q619" s="317"/>
      <c r="R619" s="1594"/>
      <c r="S619" s="1594"/>
      <c r="T619" s="1594"/>
      <c r="U619" s="621"/>
      <c r="V619" s="499"/>
    </row>
    <row r="620" spans="1:23">
      <c r="A620" s="1584"/>
      <c r="B620" s="142"/>
      <c r="C620" s="142"/>
      <c r="D620" s="144"/>
      <c r="E620" s="142"/>
      <c r="F620" s="144"/>
      <c r="G620" s="1594"/>
      <c r="Q620" s="317"/>
      <c r="R620" s="1594"/>
      <c r="S620" s="1594"/>
      <c r="T620" s="1594"/>
      <c r="U620" s="621"/>
      <c r="V620" s="499"/>
    </row>
    <row r="621" spans="1:23">
      <c r="A621" s="1584"/>
      <c r="B621" s="313" t="s">
        <v>1382</v>
      </c>
      <c r="C621" s="1595"/>
      <c r="D621" s="262"/>
      <c r="E621" s="1595"/>
      <c r="F621" s="262"/>
      <c r="G621" s="1594"/>
      <c r="Q621" s="317" t="e">
        <f>#REF!</f>
        <v>#REF!</v>
      </c>
      <c r="R621" s="1594"/>
      <c r="S621" s="1594"/>
      <c r="T621" s="1594"/>
      <c r="U621" s="621"/>
      <c r="V621" s="499"/>
    </row>
    <row r="622" spans="1:23">
      <c r="A622" s="1584"/>
      <c r="B622" s="313" t="s">
        <v>2157</v>
      </c>
      <c r="C622" s="1595"/>
      <c r="D622" s="331">
        <v>202529</v>
      </c>
      <c r="E622" s="1595"/>
      <c r="F622" s="331">
        <v>207368</v>
      </c>
      <c r="G622" s="1594"/>
      <c r="Q622" s="317"/>
      <c r="R622" s="1594"/>
      <c r="S622" s="1594"/>
      <c r="T622" s="1594"/>
      <c r="U622" s="621"/>
      <c r="V622" s="499"/>
    </row>
    <row r="623" spans="1:23">
      <c r="A623" s="1584"/>
      <c r="B623" s="313" t="s">
        <v>2152</v>
      </c>
      <c r="C623" s="1595"/>
      <c r="D623" s="331">
        <v>-202529</v>
      </c>
      <c r="E623" s="1595"/>
      <c r="F623" s="331">
        <v>-207368</v>
      </c>
      <c r="G623" s="1594"/>
      <c r="Q623" s="317"/>
      <c r="R623" s="1594"/>
      <c r="S623" s="1594"/>
      <c r="T623" s="1594"/>
      <c r="U623" s="621"/>
      <c r="V623" s="499"/>
    </row>
    <row r="624" spans="1:23">
      <c r="A624" s="1584"/>
      <c r="B624" s="313" t="s">
        <v>2153</v>
      </c>
      <c r="C624" s="1595"/>
      <c r="D624" s="327"/>
      <c r="E624" s="1595"/>
      <c r="F624" s="327">
        <v>0</v>
      </c>
      <c r="G624" s="1594"/>
      <c r="Q624" s="317">
        <v>-148103</v>
      </c>
      <c r="R624" s="1594"/>
      <c r="S624" s="1594"/>
      <c r="T624" s="1594"/>
      <c r="U624" s="621">
        <v>192083</v>
      </c>
      <c r="V624" s="499"/>
      <c r="W624" s="334" t="s">
        <v>36</v>
      </c>
    </row>
    <row r="625" spans="1:23">
      <c r="A625" s="1584"/>
      <c r="B625" s="1595"/>
      <c r="C625" s="1595"/>
      <c r="D625" s="325"/>
      <c r="E625" s="1595"/>
      <c r="F625" s="325"/>
      <c r="G625" s="1594"/>
      <c r="Q625" s="317"/>
      <c r="R625" s="1594"/>
      <c r="S625" s="1594"/>
      <c r="T625" s="1594"/>
      <c r="U625" s="621"/>
      <c r="V625" s="499"/>
    </row>
    <row r="626" spans="1:23" ht="13.5" thickBot="1">
      <c r="A626" s="1584"/>
      <c r="B626" s="142" t="s">
        <v>1201</v>
      </c>
      <c r="C626" s="142"/>
      <c r="D626" s="143">
        <f>SUM(D621:D624)</f>
        <v>0</v>
      </c>
      <c r="E626" s="142"/>
      <c r="F626" s="143">
        <f>SUM(F621:F624)</f>
        <v>0</v>
      </c>
      <c r="G626" s="1594"/>
      <c r="Q626" s="143" t="e">
        <f>SUM(Q621:Q624)</f>
        <v>#REF!</v>
      </c>
      <c r="R626" s="1594"/>
      <c r="S626" s="1594"/>
      <c r="T626" s="1594"/>
      <c r="U626" s="246">
        <f>SUM(U621:U624)</f>
        <v>192083</v>
      </c>
      <c r="V626" s="499"/>
      <c r="W626" s="316" t="s">
        <v>36</v>
      </c>
    </row>
    <row r="627" spans="1:23" ht="13.5" thickTop="1">
      <c r="A627" s="1584"/>
      <c r="B627" s="1594"/>
      <c r="C627" s="1594"/>
      <c r="D627" s="317"/>
      <c r="E627" s="1594"/>
      <c r="F627" s="317"/>
      <c r="G627" s="1594"/>
      <c r="Q627" s="317"/>
      <c r="R627" s="1594"/>
      <c r="S627" s="1594"/>
      <c r="T627" s="1594"/>
      <c r="U627" s="621"/>
      <c r="V627" s="499"/>
      <c r="W627" s="334" t="s">
        <v>36</v>
      </c>
    </row>
    <row r="628" spans="1:23">
      <c r="A628" s="1584">
        <v>39.6</v>
      </c>
      <c r="B628" s="142" t="s">
        <v>1203</v>
      </c>
      <c r="C628" s="142"/>
      <c r="D628" s="144"/>
      <c r="E628" s="142"/>
      <c r="F628" s="144"/>
      <c r="G628" s="1594"/>
      <c r="Q628" s="317"/>
      <c r="R628" s="1594"/>
      <c r="S628" s="1594"/>
      <c r="T628" s="1594"/>
      <c r="U628" s="621"/>
      <c r="V628" s="499"/>
    </row>
    <row r="629" spans="1:23">
      <c r="A629" s="1584"/>
      <c r="B629" s="142"/>
      <c r="C629" s="142"/>
      <c r="D629" s="214"/>
      <c r="E629" s="142"/>
      <c r="F629" s="214"/>
      <c r="G629" s="1594"/>
      <c r="Q629" s="317"/>
      <c r="R629" s="1594"/>
      <c r="S629" s="1594"/>
      <c r="T629" s="1594"/>
      <c r="U629" s="621"/>
      <c r="V629" s="499"/>
    </row>
    <row r="630" spans="1:23">
      <c r="A630" s="1584"/>
      <c r="B630" s="313" t="s">
        <v>1382</v>
      </c>
      <c r="C630" s="142"/>
      <c r="D630" s="287"/>
      <c r="E630" s="142"/>
      <c r="F630" s="287"/>
      <c r="G630" s="1594"/>
      <c r="Q630" s="317"/>
      <c r="R630" s="1594"/>
      <c r="S630" s="1594"/>
      <c r="T630" s="1594"/>
      <c r="U630" s="621"/>
      <c r="V630" s="499"/>
    </row>
    <row r="631" spans="1:23">
      <c r="A631" s="1584"/>
      <c r="B631" s="313" t="s">
        <v>2157</v>
      </c>
      <c r="C631" s="142"/>
      <c r="D631" s="287"/>
      <c r="E631" s="142"/>
      <c r="F631" s="287"/>
      <c r="G631" s="1594"/>
      <c r="Q631" s="317"/>
      <c r="R631" s="1594"/>
      <c r="S631" s="1594"/>
      <c r="T631" s="1594"/>
      <c r="U631" s="621"/>
      <c r="V631" s="499"/>
    </row>
    <row r="632" spans="1:23">
      <c r="A632" s="1584"/>
      <c r="B632" s="1595" t="s">
        <v>1200</v>
      </c>
      <c r="C632" s="1595"/>
      <c r="D632" s="331">
        <v>801907</v>
      </c>
      <c r="E632" s="1595"/>
      <c r="F632" s="331">
        <v>781751</v>
      </c>
      <c r="G632" s="1594"/>
      <c r="Q632" s="317" t="e">
        <f>#REF!</f>
        <v>#REF!</v>
      </c>
      <c r="R632" s="1594"/>
      <c r="S632" s="1594"/>
      <c r="T632" s="1594"/>
      <c r="U632" s="621"/>
      <c r="V632" s="499"/>
    </row>
    <row r="633" spans="1:23">
      <c r="A633" s="1584"/>
      <c r="B633" s="1595" t="s">
        <v>1274</v>
      </c>
      <c r="C633" s="1595"/>
      <c r="D633" s="327">
        <v>-801907</v>
      </c>
      <c r="E633" s="1595"/>
      <c r="F633" s="327">
        <v>-781751</v>
      </c>
      <c r="G633" s="1594"/>
      <c r="Q633" s="317">
        <v>-454140</v>
      </c>
      <c r="R633" s="1594"/>
      <c r="S633" s="1594"/>
      <c r="T633" s="1594"/>
      <c r="U633" s="621">
        <v>481048</v>
      </c>
      <c r="V633" s="499"/>
      <c r="W633" s="334" t="s">
        <v>36</v>
      </c>
    </row>
    <row r="634" spans="1:23">
      <c r="A634" s="1584"/>
      <c r="B634" s="1595"/>
      <c r="C634" s="1595"/>
      <c r="D634" s="325"/>
      <c r="E634" s="1595"/>
      <c r="F634" s="325"/>
      <c r="G634" s="1594"/>
      <c r="Q634" s="317"/>
      <c r="R634" s="1594"/>
      <c r="S634" s="1594"/>
      <c r="T634" s="1594"/>
      <c r="U634" s="621"/>
      <c r="V634" s="499"/>
    </row>
    <row r="635" spans="1:23" ht="13.5" thickBot="1">
      <c r="A635" s="1584"/>
      <c r="B635" s="142" t="s">
        <v>1201</v>
      </c>
      <c r="C635" s="142"/>
      <c r="D635" s="143">
        <f>SUM(D632:D633)</f>
        <v>0</v>
      </c>
      <c r="E635" s="142"/>
      <c r="F635" s="143">
        <f>SUM(F632:F633)</f>
        <v>0</v>
      </c>
      <c r="G635" s="1594"/>
      <c r="Q635" s="143" t="e">
        <f>SUM(Q632:Q633)</f>
        <v>#REF!</v>
      </c>
      <c r="R635" s="1594"/>
      <c r="S635" s="1594"/>
      <c r="T635" s="1594"/>
      <c r="U635" s="246">
        <f>SUM(U632:U633)</f>
        <v>481048</v>
      </c>
      <c r="V635" s="499"/>
      <c r="W635" s="316" t="s">
        <v>36</v>
      </c>
    </row>
    <row r="636" spans="1:23" ht="13.5" thickTop="1">
      <c r="A636" s="1584"/>
      <c r="B636" s="142"/>
      <c r="C636" s="142"/>
      <c r="D636" s="144"/>
      <c r="E636" s="142"/>
      <c r="F636" s="144"/>
      <c r="G636" s="1594"/>
      <c r="Q636" s="317"/>
      <c r="R636" s="1594"/>
      <c r="S636" s="1594"/>
      <c r="T636" s="1594"/>
      <c r="U636" s="621"/>
      <c r="V636" s="499"/>
    </row>
    <row r="637" spans="1:23">
      <c r="A637" s="1584">
        <v>39.700000000000003</v>
      </c>
      <c r="B637" s="142" t="s">
        <v>1204</v>
      </c>
      <c r="C637" s="142"/>
      <c r="D637" s="144"/>
      <c r="E637" s="142"/>
      <c r="F637" s="144"/>
      <c r="G637" s="1594"/>
      <c r="Q637" s="317"/>
      <c r="R637" s="1594"/>
      <c r="S637" s="1594"/>
      <c r="T637" s="1594"/>
      <c r="U637" s="621"/>
      <c r="V637" s="499"/>
    </row>
    <row r="638" spans="1:23">
      <c r="A638" s="1584"/>
      <c r="B638" s="142"/>
      <c r="C638" s="142"/>
      <c r="D638" s="144"/>
      <c r="E638" s="142"/>
      <c r="F638" s="144"/>
      <c r="G638" s="1594"/>
      <c r="Q638" s="317"/>
      <c r="R638" s="1594"/>
      <c r="S638" s="1594"/>
      <c r="T638" s="1594"/>
      <c r="U638" s="621"/>
      <c r="V638" s="499"/>
    </row>
    <row r="639" spans="1:23">
      <c r="A639" s="1584"/>
      <c r="B639" s="313" t="s">
        <v>1382</v>
      </c>
      <c r="C639" s="142"/>
      <c r="D639" s="214"/>
      <c r="E639" s="142"/>
      <c r="F639" s="214"/>
      <c r="G639" s="1594"/>
      <c r="Q639" s="317"/>
      <c r="R639" s="1594"/>
      <c r="S639" s="1594"/>
      <c r="T639" s="1594"/>
      <c r="U639" s="621"/>
      <c r="V639" s="499"/>
    </row>
    <row r="640" spans="1:23">
      <c r="A640" s="1584"/>
      <c r="B640" s="313" t="s">
        <v>2157</v>
      </c>
      <c r="C640" s="142"/>
      <c r="D640" s="287">
        <v>3657766</v>
      </c>
      <c r="E640" s="142"/>
      <c r="F640" s="287"/>
      <c r="G640" s="1594"/>
      <c r="Q640" s="317"/>
      <c r="R640" s="1594"/>
      <c r="S640" s="1594"/>
      <c r="T640" s="1594"/>
      <c r="U640" s="621"/>
      <c r="V640" s="499"/>
    </row>
    <row r="641" spans="1:23">
      <c r="A641" s="1584"/>
      <c r="B641" s="1595" t="s">
        <v>1200</v>
      </c>
      <c r="C641" s="1595"/>
      <c r="D641" s="331"/>
      <c r="E641" s="1595"/>
      <c r="F641" s="331">
        <v>3954767</v>
      </c>
      <c r="G641" s="1594"/>
      <c r="Q641" s="317" t="e">
        <f>#REF!</f>
        <v>#REF!</v>
      </c>
      <c r="R641" s="1594"/>
      <c r="S641" s="1594"/>
      <c r="T641" s="1594"/>
      <c r="U641" s="621"/>
      <c r="V641" s="499"/>
    </row>
    <row r="642" spans="1:23">
      <c r="A642" s="1584"/>
      <c r="B642" s="1595" t="s">
        <v>1274</v>
      </c>
      <c r="C642" s="1595"/>
      <c r="D642" s="327">
        <v>-3657766</v>
      </c>
      <c r="E642" s="1595"/>
      <c r="F642" s="327">
        <v>-3954767</v>
      </c>
      <c r="G642" s="1594"/>
      <c r="Q642" s="317">
        <v>-2579424</v>
      </c>
      <c r="R642" s="1594"/>
      <c r="S642" s="1594"/>
      <c r="T642" s="1594"/>
      <c r="U642" s="621">
        <v>3225193</v>
      </c>
      <c r="V642" s="499"/>
      <c r="W642" s="334" t="s">
        <v>36</v>
      </c>
    </row>
    <row r="643" spans="1:23">
      <c r="A643" s="1584"/>
      <c r="B643" s="1595"/>
      <c r="C643" s="1595"/>
      <c r="D643" s="325"/>
      <c r="E643" s="1595"/>
      <c r="F643" s="325"/>
      <c r="G643" s="1594"/>
      <c r="Q643" s="317"/>
      <c r="R643" s="1594"/>
      <c r="S643" s="1594"/>
      <c r="T643" s="1594"/>
      <c r="U643" s="621"/>
      <c r="V643" s="499"/>
    </row>
    <row r="644" spans="1:23" ht="13.5" thickBot="1">
      <c r="A644" s="1584"/>
      <c r="B644" s="142" t="s">
        <v>1201</v>
      </c>
      <c r="C644" s="142"/>
      <c r="D644" s="143">
        <f>SUM(D640:D642)</f>
        <v>0</v>
      </c>
      <c r="E644" s="142"/>
      <c r="F644" s="143">
        <f>SUM(F641:F642)</f>
        <v>0</v>
      </c>
      <c r="G644" s="1594"/>
      <c r="Q644" s="143" t="e">
        <f>SUM(Q641:Q642)</f>
        <v>#REF!</v>
      </c>
      <c r="R644" s="1594"/>
      <c r="S644" s="1594"/>
      <c r="T644" s="1594"/>
      <c r="U644" s="246">
        <f>SUM(U641:U642)</f>
        <v>3225193</v>
      </c>
      <c r="V644" s="499"/>
      <c r="W644" s="316" t="s">
        <v>36</v>
      </c>
    </row>
    <row r="645" spans="1:23" ht="14.25" thickTop="1" thickBot="1">
      <c r="A645" s="284"/>
      <c r="B645" s="672"/>
      <c r="C645" s="672"/>
      <c r="D645" s="673"/>
      <c r="E645" s="672"/>
      <c r="F645" s="673"/>
      <c r="G645" s="672"/>
      <c r="Q645" s="315"/>
      <c r="R645" s="314"/>
      <c r="S645" s="314"/>
      <c r="T645" s="314"/>
      <c r="U645" s="634"/>
      <c r="V645" s="635"/>
    </row>
    <row r="646" spans="1:23">
      <c r="A646" s="242"/>
      <c r="B646" s="1594"/>
      <c r="C646" s="1594"/>
      <c r="D646" s="317"/>
      <c r="E646" s="1594"/>
      <c r="F646" s="317"/>
      <c r="G646" s="1594"/>
      <c r="Q646" s="322"/>
      <c r="R646" s="321"/>
      <c r="S646" s="321"/>
      <c r="T646" s="321"/>
      <c r="U646" s="622"/>
      <c r="V646" s="623"/>
    </row>
    <row r="647" spans="1:23">
      <c r="A647" s="242"/>
      <c r="B647" s="1594"/>
      <c r="C647" s="1594"/>
      <c r="D647" s="317"/>
      <c r="E647" s="1594"/>
      <c r="F647" s="317"/>
      <c r="G647" s="1595"/>
      <c r="H647" s="241"/>
      <c r="I647" s="1595"/>
      <c r="J647" s="1595"/>
      <c r="K647" s="1595"/>
      <c r="L647" s="1595"/>
      <c r="M647" s="1595"/>
      <c r="N647" s="1595"/>
      <c r="O647" s="1595"/>
      <c r="P647" s="1595"/>
      <c r="Q647" s="158"/>
      <c r="R647" s="1594"/>
      <c r="S647" s="1594"/>
      <c r="T647" s="1594"/>
      <c r="U647" s="254"/>
      <c r="V647" s="499"/>
    </row>
    <row r="648" spans="1:23">
      <c r="A648" s="242"/>
      <c r="B648" s="1594"/>
      <c r="C648" s="1594"/>
      <c r="D648" s="317"/>
      <c r="E648" s="1594"/>
      <c r="F648" s="317"/>
      <c r="G648" s="1594"/>
      <c r="Q648" s="538"/>
      <c r="R648" s="1594"/>
      <c r="S648" s="1594"/>
      <c r="T648" s="1594"/>
      <c r="U648" s="674"/>
      <c r="V648" s="499"/>
    </row>
    <row r="649" spans="1:23">
      <c r="A649" s="247"/>
      <c r="B649" s="1666" t="s">
        <v>837</v>
      </c>
      <c r="C649" s="1666"/>
      <c r="D649" s="1666"/>
      <c r="E649" s="1666"/>
      <c r="F649" s="1666"/>
      <c r="G649" s="1585"/>
      <c r="H649" s="184"/>
      <c r="I649" s="1585"/>
      <c r="J649" s="1585"/>
      <c r="K649" s="1585"/>
      <c r="L649" s="1585"/>
      <c r="M649" s="1585"/>
      <c r="N649" s="1585"/>
      <c r="O649" s="1585"/>
      <c r="P649" s="1585"/>
      <c r="Q649" s="1585"/>
      <c r="R649" s="1585"/>
      <c r="S649" s="1585"/>
      <c r="T649" s="1585"/>
      <c r="U649" s="1585"/>
      <c r="V649" s="638"/>
    </row>
    <row r="650" spans="1:23">
      <c r="A650" s="247"/>
      <c r="B650" s="1728" t="s">
        <v>1140</v>
      </c>
      <c r="C650" s="1728"/>
      <c r="D650" s="1728"/>
      <c r="E650" s="1728"/>
      <c r="F650" s="1728"/>
      <c r="G650" s="1592"/>
      <c r="H650" s="167"/>
      <c r="I650" s="1592"/>
      <c r="J650" s="1592"/>
      <c r="K650" s="1592"/>
      <c r="L650" s="1592"/>
      <c r="M650" s="1592"/>
      <c r="N650" s="1592"/>
      <c r="O650" s="1592"/>
      <c r="P650" s="1592"/>
      <c r="Q650" s="1592"/>
      <c r="R650" s="1592"/>
      <c r="S650" s="1592"/>
      <c r="T650" s="1592"/>
      <c r="U650" s="1592"/>
      <c r="V650" s="638"/>
      <c r="W650" s="679"/>
    </row>
    <row r="651" spans="1:23">
      <c r="A651" s="247"/>
      <c r="B651" s="1666" t="s">
        <v>1141</v>
      </c>
      <c r="C651" s="1666"/>
      <c r="D651" s="1666"/>
      <c r="E651" s="1666"/>
      <c r="F651" s="1666"/>
      <c r="G651" s="1585"/>
      <c r="H651" s="184"/>
      <c r="I651" s="1585"/>
      <c r="J651" s="1585"/>
      <c r="K651" s="1585"/>
      <c r="L651" s="1585"/>
      <c r="M651" s="1585"/>
      <c r="N651" s="1585"/>
      <c r="O651" s="1585"/>
      <c r="P651" s="1585"/>
      <c r="Q651" s="1585"/>
      <c r="R651" s="1585"/>
      <c r="S651" s="1585"/>
      <c r="T651" s="1585"/>
      <c r="U651" s="1585"/>
      <c r="V651" s="638"/>
    </row>
    <row r="652" spans="1:23">
      <c r="A652" s="247"/>
      <c r="B652" s="670"/>
      <c r="C652" s="670"/>
      <c r="D652" s="671"/>
      <c r="E652" s="670"/>
      <c r="F652" s="670"/>
      <c r="G652" s="670"/>
      <c r="H652" s="985"/>
      <c r="I652" s="670"/>
      <c r="J652" s="670"/>
      <c r="K652" s="670"/>
      <c r="L652" s="670"/>
      <c r="M652" s="670"/>
      <c r="N652" s="670"/>
      <c r="O652" s="670"/>
      <c r="P652" s="670"/>
      <c r="Q652" s="670"/>
      <c r="R652" s="670"/>
      <c r="S652" s="670"/>
      <c r="T652" s="670"/>
      <c r="U652" s="670"/>
      <c r="V652" s="638"/>
    </row>
    <row r="653" spans="1:23">
      <c r="A653" s="247"/>
      <c r="B653" s="670"/>
      <c r="C653" s="670"/>
      <c r="D653" s="671"/>
      <c r="E653" s="670"/>
      <c r="F653" s="670"/>
      <c r="G653" s="670"/>
      <c r="H653" s="985"/>
      <c r="I653" s="670"/>
      <c r="J653" s="670"/>
      <c r="K653" s="670"/>
      <c r="L653" s="670"/>
      <c r="M653" s="670"/>
      <c r="N653" s="670"/>
      <c r="O653" s="670"/>
      <c r="P653" s="670"/>
      <c r="Q653" s="670"/>
      <c r="R653" s="670"/>
      <c r="S653" s="670"/>
      <c r="T653" s="670"/>
      <c r="U653" s="670"/>
      <c r="V653" s="638"/>
    </row>
    <row r="654" spans="1:23" ht="63" customHeight="1">
      <c r="A654" s="247"/>
      <c r="B654" s="1703" t="s">
        <v>2014</v>
      </c>
      <c r="C654" s="1703"/>
      <c r="D654" s="1703"/>
      <c r="E654" s="1703"/>
      <c r="F654" s="1703"/>
      <c r="G654" s="1587"/>
      <c r="H654" s="332"/>
      <c r="I654" s="1587"/>
      <c r="J654" s="1587"/>
      <c r="K654" s="1587"/>
      <c r="L654" s="1587"/>
      <c r="M654" s="1587"/>
      <c r="N654" s="1587"/>
      <c r="O654" s="1587"/>
      <c r="P654" s="1587"/>
      <c r="Q654" s="1587"/>
      <c r="R654" s="1587"/>
      <c r="S654" s="1587"/>
      <c r="T654" s="1587"/>
      <c r="U654" s="1587"/>
      <c r="V654" s="638"/>
    </row>
    <row r="655" spans="1:23">
      <c r="A655" s="247"/>
      <c r="B655" s="1595"/>
      <c r="C655" s="1595"/>
      <c r="D655" s="325"/>
      <c r="E655" s="1595"/>
      <c r="F655" s="325"/>
      <c r="G655" s="1595"/>
      <c r="H655" s="241"/>
      <c r="I655" s="1595"/>
      <c r="J655" s="1595"/>
      <c r="K655" s="1595"/>
      <c r="L655" s="1595"/>
      <c r="M655" s="1595"/>
      <c r="N655" s="1595"/>
      <c r="O655" s="1595"/>
      <c r="P655" s="1595"/>
      <c r="Q655" s="399"/>
      <c r="R655" s="1595"/>
      <c r="S655" s="1595"/>
      <c r="T655" s="1595"/>
      <c r="U655" s="399"/>
      <c r="V655" s="638"/>
    </row>
    <row r="656" spans="1:23">
      <c r="A656" s="247"/>
      <c r="B656" s="1595"/>
      <c r="C656" s="1595"/>
      <c r="D656" s="325"/>
      <c r="E656" s="1595"/>
      <c r="F656" s="325"/>
      <c r="G656" s="1595"/>
      <c r="H656" s="241"/>
      <c r="I656" s="1595"/>
      <c r="J656" s="1595"/>
      <c r="K656" s="1595"/>
      <c r="L656" s="1595"/>
      <c r="M656" s="1595"/>
      <c r="N656" s="1595"/>
      <c r="O656" s="1595"/>
      <c r="P656" s="1595"/>
      <c r="Q656" s="399"/>
      <c r="R656" s="1595"/>
      <c r="S656" s="1595"/>
      <c r="T656" s="1595"/>
      <c r="U656" s="399"/>
      <c r="V656" s="638"/>
    </row>
    <row r="657" spans="1:23">
      <c r="A657" s="247"/>
      <c r="B657" s="1595"/>
      <c r="C657" s="1595"/>
      <c r="D657" s="325"/>
      <c r="E657" s="1595"/>
      <c r="F657" s="325"/>
      <c r="G657" s="1595"/>
      <c r="H657" s="241"/>
      <c r="I657" s="1595"/>
      <c r="J657" s="1595"/>
      <c r="K657" s="1595"/>
      <c r="L657" s="1595"/>
      <c r="M657" s="1595"/>
      <c r="N657" s="1595"/>
      <c r="O657" s="1595"/>
      <c r="P657" s="1595"/>
      <c r="Q657" s="399"/>
      <c r="R657" s="1595"/>
      <c r="S657" s="1595"/>
      <c r="T657" s="1595"/>
      <c r="U657" s="399"/>
      <c r="V657" s="638"/>
    </row>
    <row r="658" spans="1:23">
      <c r="A658" s="247"/>
      <c r="B658" s="1595"/>
      <c r="C658" s="1595"/>
      <c r="D658" s="325"/>
      <c r="E658" s="1595"/>
      <c r="F658" s="325"/>
      <c r="G658" s="1595"/>
      <c r="H658" s="241"/>
      <c r="I658" s="1595"/>
      <c r="J658" s="1595"/>
      <c r="K658" s="1595"/>
      <c r="L658" s="1595"/>
      <c r="M658" s="1595"/>
      <c r="N658" s="1595"/>
      <c r="O658" s="1595"/>
      <c r="P658" s="1595"/>
      <c r="Q658" s="399"/>
      <c r="R658" s="1595"/>
      <c r="S658" s="1595"/>
      <c r="T658" s="1595"/>
      <c r="U658" s="399"/>
      <c r="V658" s="638"/>
      <c r="W658" s="679"/>
    </row>
    <row r="659" spans="1:23">
      <c r="A659" s="247"/>
      <c r="B659" s="1595"/>
      <c r="C659" s="1595"/>
      <c r="D659" s="325"/>
      <c r="E659" s="1595"/>
      <c r="F659" s="325"/>
      <c r="G659" s="1595"/>
      <c r="H659" s="241"/>
      <c r="I659" s="1595"/>
      <c r="J659" s="1595"/>
      <c r="K659" s="1595"/>
      <c r="L659" s="1595"/>
      <c r="M659" s="1595"/>
      <c r="N659" s="1595"/>
      <c r="O659" s="1595"/>
      <c r="P659" s="1595"/>
      <c r="Q659" s="399"/>
      <c r="R659" s="1595"/>
      <c r="S659" s="1595"/>
      <c r="T659" s="1595"/>
      <c r="U659" s="399"/>
      <c r="V659" s="638"/>
    </row>
    <row r="660" spans="1:23">
      <c r="A660" s="247"/>
      <c r="B660" s="142" t="s">
        <v>2670</v>
      </c>
      <c r="C660" s="142"/>
      <c r="D660" s="144"/>
      <c r="E660" s="142"/>
      <c r="F660" s="144"/>
      <c r="G660" s="1595"/>
      <c r="H660" s="241"/>
      <c r="I660" s="1595"/>
      <c r="J660" s="1595"/>
      <c r="K660" s="1595"/>
      <c r="L660" s="1595"/>
      <c r="M660" s="1595"/>
      <c r="N660" s="1595"/>
      <c r="O660" s="1595"/>
      <c r="P660" s="1595"/>
      <c r="Q660" s="399"/>
      <c r="R660" s="1595"/>
      <c r="S660" s="1595"/>
      <c r="T660" s="1595"/>
      <c r="U660" s="399"/>
      <c r="V660" s="638"/>
    </row>
    <row r="661" spans="1:23">
      <c r="A661" s="247"/>
      <c r="B661" s="142" t="s">
        <v>2760</v>
      </c>
      <c r="C661" s="142"/>
      <c r="D661" s="144"/>
      <c r="E661" s="142"/>
      <c r="F661" s="144"/>
      <c r="G661" s="1595"/>
      <c r="H661" s="241"/>
      <c r="I661" s="1595"/>
      <c r="J661" s="1595"/>
      <c r="K661" s="1595"/>
      <c r="L661" s="1595"/>
      <c r="M661" s="1595"/>
      <c r="N661" s="1595"/>
      <c r="O661" s="1595"/>
      <c r="P661" s="1595"/>
      <c r="Q661" s="399"/>
      <c r="R661" s="1595"/>
      <c r="S661" s="1595"/>
      <c r="T661" s="1595"/>
      <c r="U661" s="399"/>
      <c r="V661" s="638"/>
    </row>
    <row r="662" spans="1:23" ht="13.5" thickBot="1">
      <c r="A662" s="1592"/>
      <c r="B662" s="1595"/>
      <c r="C662" s="1595"/>
      <c r="D662" s="325"/>
      <c r="E662" s="1595"/>
      <c r="F662" s="325"/>
      <c r="G662" s="1595"/>
      <c r="H662" s="241"/>
      <c r="I662" s="1595"/>
      <c r="J662" s="1595"/>
      <c r="K662" s="1595"/>
      <c r="L662" s="1595"/>
      <c r="M662" s="1595"/>
      <c r="N662" s="1595"/>
      <c r="O662" s="1595"/>
      <c r="P662" s="1595"/>
      <c r="Q662" s="399"/>
      <c r="R662" s="1595"/>
      <c r="S662" s="1595"/>
      <c r="T662" s="1595"/>
      <c r="U662" s="399"/>
      <c r="V662" s="675"/>
    </row>
    <row r="663" spans="1:23">
      <c r="A663" s="153"/>
      <c r="B663" s="651"/>
      <c r="C663" s="651"/>
      <c r="D663" s="652"/>
      <c r="E663" s="651"/>
      <c r="F663" s="652"/>
      <c r="G663" s="651"/>
      <c r="H663" s="241"/>
      <c r="I663" s="1595"/>
      <c r="J663" s="1595"/>
      <c r="K663" s="1595"/>
      <c r="L663" s="1595"/>
      <c r="M663" s="1595"/>
      <c r="N663" s="1595"/>
      <c r="O663" s="1595"/>
      <c r="P663" s="1595"/>
      <c r="Q663" s="676"/>
      <c r="R663" s="651"/>
      <c r="S663" s="651"/>
      <c r="T663" s="651"/>
      <c r="U663" s="677"/>
      <c r="V663" s="678"/>
    </row>
  </sheetData>
  <mergeCells count="13">
    <mergeCell ref="B107:G107"/>
    <mergeCell ref="B98:G98"/>
    <mergeCell ref="A1:G1"/>
    <mergeCell ref="A2:G2"/>
    <mergeCell ref="B654:F654"/>
    <mergeCell ref="B649:F649"/>
    <mergeCell ref="B650:F650"/>
    <mergeCell ref="B651:F651"/>
    <mergeCell ref="B116:G116"/>
    <mergeCell ref="B41:I41"/>
    <mergeCell ref="B287:I287"/>
    <mergeCell ref="B288:I288"/>
    <mergeCell ref="B40:F40"/>
  </mergeCells>
  <phoneticPr fontId="0" type="noConversion"/>
  <printOptions horizontalCentered="1"/>
  <pageMargins left="0.6692913385826772" right="0.39370078740157483" top="0.98425196850393704" bottom="0.98425196850393704" header="0.51181102362204722" footer="0.51181102362204722"/>
  <pageSetup scale="74" fitToHeight="10" orientation="portrait" r:id="rId1"/>
  <headerFooter>
    <oddHeader>&amp;C FINANCIAL STATEMENTS: MUSINA LOCAL MUNICIPALITY</oddHeader>
    <oddFooter>&amp;R&amp;P</oddFooter>
  </headerFooter>
  <rowBreaks count="10" manualBreakCount="10">
    <brk id="60" max="8" man="1"/>
    <brk id="106" max="8" man="1"/>
    <brk id="165" max="8" man="1"/>
    <brk id="229" max="8" man="1"/>
    <brk id="290" max="8" man="1"/>
    <brk id="346" max="8" man="1"/>
    <brk id="405" max="8" man="1"/>
    <brk id="456" max="8" man="1"/>
    <brk id="505" max="8" man="1"/>
    <brk id="627" max="8" man="1"/>
  </rowBreaks>
  <legacyDrawing r:id="rId2"/>
</worksheet>
</file>

<file path=xl/worksheets/sheet19.xml><?xml version="1.0" encoding="utf-8"?>
<worksheet xmlns="http://schemas.openxmlformats.org/spreadsheetml/2006/main" xmlns:r="http://schemas.openxmlformats.org/officeDocument/2006/relationships">
  <dimension ref="A1:M116"/>
  <sheetViews>
    <sheetView view="pageBreakPreview" zoomScaleSheetLayoutView="100" workbookViewId="0">
      <selection activeCell="C43" activeCellId="1" sqref="E18 C43"/>
    </sheetView>
  </sheetViews>
  <sheetFormatPr defaultRowHeight="12.75"/>
  <cols>
    <col min="1" max="1" width="9.140625" style="30" customWidth="1"/>
    <col min="2" max="2" width="41.28515625" style="998" customWidth="1"/>
    <col min="3" max="3" width="10.5703125" style="999" bestFit="1" customWidth="1"/>
    <col min="4" max="4" width="11.7109375" style="999" bestFit="1" customWidth="1"/>
    <col min="5" max="5" width="13.5703125" style="999" customWidth="1"/>
    <col min="6" max="6" width="10" style="999" bestFit="1" customWidth="1"/>
    <col min="7" max="7" width="9.140625" style="997" bestFit="1" customWidth="1"/>
    <col min="8" max="8" width="11" style="997" bestFit="1" customWidth="1"/>
    <col min="9" max="9" width="1.140625" style="997" customWidth="1"/>
    <col min="10" max="10" width="9.140625" style="997" customWidth="1"/>
    <col min="11" max="11" width="10.28515625" style="997" bestFit="1" customWidth="1"/>
    <col min="12" max="16384" width="9.140625" style="997"/>
  </cols>
  <sheetData>
    <row r="1" spans="1:10" ht="13.5" thickTop="1">
      <c r="A1" s="1729" t="s">
        <v>1349</v>
      </c>
      <c r="B1" s="1730"/>
      <c r="C1" s="1730"/>
      <c r="D1" s="1730"/>
      <c r="E1" s="1730"/>
      <c r="F1" s="1730"/>
      <c r="G1" s="1730"/>
      <c r="H1" s="1730"/>
      <c r="I1" s="1731"/>
    </row>
    <row r="2" spans="1:10">
      <c r="A2" s="1732" t="s">
        <v>2075</v>
      </c>
      <c r="B2" s="1708"/>
      <c r="C2" s="1708"/>
      <c r="D2" s="1708"/>
      <c r="E2" s="1708"/>
      <c r="F2" s="1708"/>
      <c r="G2" s="1708"/>
      <c r="H2" s="1708"/>
      <c r="I2" s="1733"/>
    </row>
    <row r="3" spans="1:10">
      <c r="A3" s="244"/>
      <c r="I3" s="1000"/>
    </row>
    <row r="4" spans="1:10">
      <c r="A4" s="244"/>
      <c r="I4" s="1000"/>
    </row>
    <row r="5" spans="1:10" ht="25.5">
      <c r="A5" s="683" t="s">
        <v>2805</v>
      </c>
      <c r="B5" s="992" t="s">
        <v>1206</v>
      </c>
      <c r="I5" s="1000"/>
    </row>
    <row r="6" spans="1:10">
      <c r="A6" s="244"/>
      <c r="B6" s="1001" t="s">
        <v>1207</v>
      </c>
      <c r="I6" s="1000"/>
    </row>
    <row r="7" spans="1:10" ht="51">
      <c r="A7" s="244"/>
      <c r="B7" s="1002" t="s">
        <v>2084</v>
      </c>
      <c r="C7" s="684" t="s">
        <v>2085</v>
      </c>
      <c r="D7" s="684" t="s">
        <v>1210</v>
      </c>
      <c r="E7" s="684" t="s">
        <v>1209</v>
      </c>
      <c r="F7" s="685" t="s">
        <v>2086</v>
      </c>
      <c r="I7" s="1000"/>
    </row>
    <row r="8" spans="1:10">
      <c r="A8" s="244"/>
      <c r="B8" s="1001" t="s">
        <v>36</v>
      </c>
      <c r="C8" s="999" t="s">
        <v>36</v>
      </c>
      <c r="F8" s="999">
        <v>0</v>
      </c>
      <c r="I8" s="1000"/>
      <c r="J8" s="1003"/>
    </row>
    <row r="9" spans="1:10">
      <c r="A9" s="244"/>
      <c r="B9" s="1001"/>
      <c r="I9" s="1000"/>
      <c r="J9" s="1003"/>
    </row>
    <row r="10" spans="1:10">
      <c r="A10" s="244"/>
      <c r="B10" s="1001" t="s">
        <v>2472</v>
      </c>
      <c r="E10" s="999">
        <v>19237</v>
      </c>
      <c r="F10" s="999">
        <v>19236.849999999999</v>
      </c>
      <c r="I10" s="1000"/>
      <c r="J10" s="1003"/>
    </row>
    <row r="11" spans="1:10">
      <c r="A11" s="244"/>
      <c r="B11" s="1001" t="s">
        <v>2473</v>
      </c>
      <c r="E11" s="999">
        <v>16196</v>
      </c>
      <c r="F11" s="999">
        <f>14232.54+1963.29</f>
        <v>16195.830000000002</v>
      </c>
      <c r="I11" s="1000"/>
      <c r="J11" s="1003"/>
    </row>
    <row r="12" spans="1:10">
      <c r="A12" s="244"/>
      <c r="B12" s="1001" t="s">
        <v>2474</v>
      </c>
      <c r="D12" s="999">
        <v>1095</v>
      </c>
      <c r="F12" s="999">
        <v>1095.47</v>
      </c>
      <c r="I12" s="1000"/>
      <c r="J12" s="1003"/>
    </row>
    <row r="13" spans="1:10">
      <c r="A13" s="244"/>
      <c r="B13" s="1001" t="s">
        <v>2475</v>
      </c>
      <c r="D13" s="999">
        <v>174</v>
      </c>
      <c r="F13" s="999">
        <v>174.27</v>
      </c>
      <c r="I13" s="1000"/>
      <c r="J13" s="1003"/>
    </row>
    <row r="14" spans="1:10">
      <c r="A14" s="244"/>
      <c r="B14" s="1001" t="s">
        <v>2476</v>
      </c>
      <c r="E14" s="999">
        <v>17803</v>
      </c>
      <c r="F14" s="999">
        <f>3466.56+14336.75</f>
        <v>17803.310000000001</v>
      </c>
      <c r="I14" s="1000"/>
      <c r="J14" s="1003"/>
    </row>
    <row r="15" spans="1:10">
      <c r="A15" s="244"/>
      <c r="B15" s="1001" t="s">
        <v>2477</v>
      </c>
      <c r="E15" s="999">
        <v>14344</v>
      </c>
      <c r="F15" s="999">
        <v>14333.66</v>
      </c>
      <c r="I15" s="1000"/>
      <c r="J15" s="1003"/>
    </row>
    <row r="16" spans="1:10">
      <c r="A16" s="244"/>
      <c r="B16" s="1001"/>
      <c r="I16" s="1000"/>
      <c r="J16" s="1003"/>
    </row>
    <row r="17" spans="1:9">
      <c r="A17" s="244"/>
      <c r="B17" s="1001"/>
      <c r="I17" s="1000"/>
    </row>
    <row r="18" spans="1:9">
      <c r="A18" s="244"/>
      <c r="B18" s="992" t="s">
        <v>1108</v>
      </c>
      <c r="C18" s="686">
        <f>SUM(C8:C17)</f>
        <v>0</v>
      </c>
      <c r="D18" s="686">
        <f>SUM(D8:D17)</f>
        <v>1269</v>
      </c>
      <c r="E18" s="686">
        <f>SUM(E8:E17)</f>
        <v>67580</v>
      </c>
      <c r="F18" s="686">
        <f>SUM(F8:F17)</f>
        <v>68839.39</v>
      </c>
      <c r="I18" s="1000"/>
    </row>
    <row r="19" spans="1:9">
      <c r="A19" s="244"/>
      <c r="B19" s="992"/>
      <c r="I19" s="1000"/>
    </row>
    <row r="20" spans="1:9" ht="38.25">
      <c r="A20" s="244"/>
      <c r="B20" s="1002" t="s">
        <v>1208</v>
      </c>
      <c r="C20" s="1004"/>
      <c r="D20" s="684" t="s">
        <v>1211</v>
      </c>
      <c r="E20" s="684" t="s">
        <v>1212</v>
      </c>
      <c r="F20" s="684" t="s">
        <v>2087</v>
      </c>
      <c r="I20" s="1000"/>
    </row>
    <row r="21" spans="1:9">
      <c r="A21" s="244"/>
      <c r="B21" s="1002"/>
      <c r="D21" s="39"/>
      <c r="E21" s="39"/>
      <c r="F21" s="39"/>
      <c r="I21" s="1000"/>
    </row>
    <row r="22" spans="1:9">
      <c r="A22" s="244"/>
      <c r="B22" s="1001" t="s">
        <v>2472</v>
      </c>
      <c r="D22" s="39"/>
      <c r="E22" s="999" t="s">
        <v>2478</v>
      </c>
      <c r="F22" s="39"/>
      <c r="I22" s="1000"/>
    </row>
    <row r="23" spans="1:9">
      <c r="A23" s="244"/>
      <c r="B23" s="1001" t="s">
        <v>2473</v>
      </c>
      <c r="D23" s="39"/>
      <c r="E23" s="999" t="s">
        <v>2478</v>
      </c>
      <c r="F23" s="39"/>
      <c r="I23" s="1000"/>
    </row>
    <row r="24" spans="1:9">
      <c r="A24" s="244"/>
      <c r="B24" s="1001" t="s">
        <v>2476</v>
      </c>
      <c r="E24" s="999" t="s">
        <v>2478</v>
      </c>
      <c r="I24" s="1000"/>
    </row>
    <row r="25" spans="1:9">
      <c r="A25" s="244"/>
      <c r="B25" s="1001" t="s">
        <v>2477</v>
      </c>
      <c r="E25" s="999" t="s">
        <v>2478</v>
      </c>
      <c r="I25" s="1000"/>
    </row>
    <row r="26" spans="1:9">
      <c r="A26" s="244"/>
      <c r="B26" s="1002"/>
      <c r="I26" s="1000"/>
    </row>
    <row r="27" spans="1:9" s="1002" customFormat="1" ht="78" customHeight="1">
      <c r="A27" s="255"/>
      <c r="B27" s="1002" t="s">
        <v>1213</v>
      </c>
      <c r="I27" s="1005"/>
    </row>
    <row r="28" spans="1:9">
      <c r="A28" s="244"/>
      <c r="I28" s="1000"/>
    </row>
    <row r="29" spans="1:9">
      <c r="A29" s="244"/>
      <c r="B29" s="62" t="s">
        <v>1214</v>
      </c>
      <c r="I29" s="1000"/>
    </row>
    <row r="30" spans="1:9">
      <c r="A30" s="244"/>
      <c r="B30" s="33" t="s">
        <v>1215</v>
      </c>
      <c r="I30" s="1000"/>
    </row>
    <row r="31" spans="1:9">
      <c r="A31" s="244"/>
      <c r="B31" s="944" t="s">
        <v>1216</v>
      </c>
      <c r="I31" s="1000"/>
    </row>
    <row r="32" spans="1:9" ht="39" thickBot="1">
      <c r="A32" s="244"/>
      <c r="C32" s="687" t="s">
        <v>1221</v>
      </c>
      <c r="D32" s="687" t="s">
        <v>1222</v>
      </c>
      <c r="E32" s="687" t="s">
        <v>1822</v>
      </c>
      <c r="F32" s="687" t="s">
        <v>1223</v>
      </c>
      <c r="G32" s="687" t="s">
        <v>1222</v>
      </c>
      <c r="H32" s="687" t="s">
        <v>2088</v>
      </c>
      <c r="I32" s="1000"/>
    </row>
    <row r="33" spans="1:13">
      <c r="A33" s="244"/>
      <c r="B33" s="944" t="s">
        <v>1217</v>
      </c>
      <c r="E33" s="999">
        <f>SUM(C33:D33)</f>
        <v>0</v>
      </c>
      <c r="G33" s="999"/>
      <c r="H33" s="999">
        <f>SUM(F33:G33)</f>
        <v>0</v>
      </c>
      <c r="I33" s="1000"/>
    </row>
    <row r="34" spans="1:13">
      <c r="A34" s="244"/>
      <c r="B34" s="944" t="s">
        <v>1218</v>
      </c>
      <c r="D34" s="999">
        <v>0</v>
      </c>
      <c r="E34" s="999">
        <f>SUM(C34:D34)</f>
        <v>0</v>
      </c>
      <c r="F34" s="999">
        <v>0</v>
      </c>
      <c r="G34" s="999">
        <v>0</v>
      </c>
      <c r="H34" s="999">
        <v>11601.7</v>
      </c>
      <c r="I34" s="1000"/>
      <c r="J34" s="1003"/>
    </row>
    <row r="35" spans="1:13">
      <c r="A35" s="244"/>
      <c r="B35" s="944" t="s">
        <v>1219</v>
      </c>
      <c r="C35" s="999">
        <v>0</v>
      </c>
      <c r="D35" s="999">
        <v>0</v>
      </c>
      <c r="E35" s="999">
        <f>SUM(C35:D35)</f>
        <v>0</v>
      </c>
      <c r="F35" s="999">
        <v>0</v>
      </c>
      <c r="G35" s="999">
        <v>0</v>
      </c>
      <c r="H35" s="999">
        <v>9397.56</v>
      </c>
      <c r="I35" s="1000"/>
    </row>
    <row r="36" spans="1:13">
      <c r="A36" s="244"/>
      <c r="B36" s="944" t="s">
        <v>325</v>
      </c>
      <c r="C36" s="999">
        <v>0</v>
      </c>
      <c r="E36" s="999">
        <f>SUM(C36:D36)</f>
        <v>0</v>
      </c>
      <c r="F36" s="999">
        <v>0</v>
      </c>
      <c r="G36" s="999"/>
      <c r="H36" s="999">
        <v>596703.93999999994</v>
      </c>
      <c r="I36" s="1000"/>
    </row>
    <row r="37" spans="1:13" ht="13.5" thickBot="1">
      <c r="A37" s="244"/>
      <c r="B37" s="33" t="s">
        <v>1108</v>
      </c>
      <c r="C37" s="34">
        <f t="shared" ref="C37:H37" si="0">SUM(C33:C36)</f>
        <v>0</v>
      </c>
      <c r="D37" s="34">
        <f t="shared" si="0"/>
        <v>0</v>
      </c>
      <c r="E37" s="34">
        <f t="shared" si="0"/>
        <v>0</v>
      </c>
      <c r="F37" s="34">
        <f t="shared" si="0"/>
        <v>0</v>
      </c>
      <c r="G37" s="34">
        <f t="shared" si="0"/>
        <v>0</v>
      </c>
      <c r="H37" s="34">
        <f t="shared" si="0"/>
        <v>617703.19999999995</v>
      </c>
      <c r="I37" s="1000"/>
    </row>
    <row r="38" spans="1:13" ht="13.5" thickTop="1">
      <c r="A38" s="244"/>
      <c r="I38" s="1000"/>
    </row>
    <row r="39" spans="1:13" s="1002" customFormat="1" ht="38.25">
      <c r="A39" s="255"/>
      <c r="B39" s="1002" t="s">
        <v>1220</v>
      </c>
      <c r="I39" s="1005"/>
    </row>
    <row r="40" spans="1:13">
      <c r="A40" s="256"/>
      <c r="B40" s="1006"/>
      <c r="C40" s="1004"/>
      <c r="D40" s="1004"/>
      <c r="E40" s="1004"/>
      <c r="F40" s="1004"/>
      <c r="G40" s="1007"/>
      <c r="H40" s="1007"/>
      <c r="I40" s="1008"/>
    </row>
    <row r="41" spans="1:13" ht="13.5" thickBot="1">
      <c r="A41" s="257"/>
      <c r="B41" s="1011"/>
      <c r="C41" s="1011"/>
      <c r="D41" s="1012"/>
      <c r="E41" s="1011"/>
      <c r="F41" s="1011"/>
      <c r="G41" s="1011"/>
      <c r="H41" s="1012"/>
      <c r="I41" s="1013"/>
      <c r="J41" s="1009"/>
      <c r="K41" s="1010"/>
      <c r="L41" s="1010"/>
      <c r="M41" s="1010"/>
    </row>
    <row r="42" spans="1:13" ht="13.5" thickTop="1"/>
    <row r="116" spans="7:7">
      <c r="G116" s="997">
        <v>5253981.1399999997</v>
      </c>
    </row>
  </sheetData>
  <mergeCells count="2">
    <mergeCell ref="A1:I1"/>
    <mergeCell ref="A2:I2"/>
  </mergeCells>
  <phoneticPr fontId="0" type="noConversion"/>
  <printOptions horizontalCentered="1"/>
  <pageMargins left="0.6692913385826772" right="0.39370078740157483" top="0.98425196850393704" bottom="0.98425196850393704" header="0.51181102362204722" footer="0.51181102362204722"/>
  <pageSetup scale="80" fitToHeight="2" orientation="portrait" r:id="rId1"/>
  <headerFooter>
    <oddHeader>&amp;C FINANCIAL STATEMENTS: MUSINA LOCAL MUNICIPALITY</oddHeader>
    <oddFooter>&amp;R&amp;P</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Q121"/>
  <sheetViews>
    <sheetView view="pageBreakPreview" zoomScaleSheetLayoutView="100" workbookViewId="0">
      <selection activeCell="C43" activeCellId="1" sqref="E18 C43"/>
    </sheetView>
  </sheetViews>
  <sheetFormatPr defaultColWidth="85.140625" defaultRowHeight="12.75"/>
  <cols>
    <col min="1" max="1" width="19.5703125" style="1512" customWidth="1"/>
    <col min="2" max="2" width="4.28515625" style="1512" bestFit="1" customWidth="1"/>
    <col min="3" max="3" width="65.28515625" style="1480" customWidth="1"/>
    <col min="4" max="4" width="7.85546875" style="1512" customWidth="1"/>
    <col min="5" max="5" width="35.28515625" style="1480" customWidth="1"/>
    <col min="6" max="16384" width="85.140625" style="1480"/>
  </cols>
  <sheetData>
    <row r="1" spans="1:4" ht="15.75">
      <c r="A1" s="1657" t="s">
        <v>995</v>
      </c>
      <c r="B1" s="1657"/>
      <c r="C1" s="1657"/>
      <c r="D1" s="1657"/>
    </row>
    <row r="2" spans="1:4">
      <c r="D2" s="1512" t="s">
        <v>8</v>
      </c>
    </row>
    <row r="3" spans="1:4" ht="14.25" customHeight="1">
      <c r="A3" s="1656" t="s">
        <v>7</v>
      </c>
      <c r="B3" s="1656"/>
      <c r="C3" s="1656"/>
      <c r="D3" s="1280">
        <v>5</v>
      </c>
    </row>
    <row r="4" spans="1:4" ht="17.100000000000001" customHeight="1">
      <c r="A4" s="1656" t="s">
        <v>477</v>
      </c>
      <c r="B4" s="1656"/>
      <c r="C4" s="1656"/>
      <c r="D4" s="1280">
        <v>6</v>
      </c>
    </row>
    <row r="5" spans="1:4" ht="17.100000000000001" customHeight="1">
      <c r="A5" s="1656" t="s">
        <v>705</v>
      </c>
      <c r="B5" s="1656"/>
      <c r="C5" s="1656"/>
      <c r="D5" s="1280">
        <v>7</v>
      </c>
    </row>
    <row r="6" spans="1:4" ht="17.100000000000001" customHeight="1">
      <c r="A6" s="1656" t="s">
        <v>994</v>
      </c>
      <c r="B6" s="1656"/>
      <c r="C6" s="1656"/>
      <c r="D6" s="1280">
        <v>8</v>
      </c>
    </row>
    <row r="7" spans="1:4" ht="17.100000000000001" customHeight="1">
      <c r="A7" s="1653" t="s">
        <v>1110</v>
      </c>
      <c r="B7" s="1654"/>
      <c r="C7" s="1655"/>
      <c r="D7" s="1280">
        <v>9</v>
      </c>
    </row>
    <row r="8" spans="1:4" ht="17.100000000000001" customHeight="1">
      <c r="A8" s="1279" t="s">
        <v>993</v>
      </c>
      <c r="B8" s="1279"/>
      <c r="C8" s="1279"/>
      <c r="D8" s="1280"/>
    </row>
    <row r="9" spans="1:4">
      <c r="A9" s="1279" t="s">
        <v>996</v>
      </c>
      <c r="B9" s="1280" t="s">
        <v>496</v>
      </c>
      <c r="C9" s="1279" t="str">
        <f>'Note 1 Accounting Policy'!_Toc203654196</f>
        <v>BASIS OF ACCOUNTING</v>
      </c>
      <c r="D9" s="1281" t="s">
        <v>2810</v>
      </c>
    </row>
    <row r="10" spans="1:4">
      <c r="A10" s="1279" t="s">
        <v>997</v>
      </c>
      <c r="B10" s="1280" t="s">
        <v>496</v>
      </c>
      <c r="C10" s="1279" t="str">
        <f>'Notes 2 - 9'!B7</f>
        <v>STATUTORY FUNDS &amp; RESERVES</v>
      </c>
      <c r="D10" s="1280">
        <v>25</v>
      </c>
    </row>
    <row r="11" spans="1:4">
      <c r="A11" s="1279" t="s">
        <v>998</v>
      </c>
      <c r="B11" s="1280" t="s">
        <v>496</v>
      </c>
      <c r="C11" s="1279" t="str">
        <f>'Notes 2 - 9'!B18</f>
        <v>RESERVES</v>
      </c>
      <c r="D11" s="1280">
        <v>25</v>
      </c>
    </row>
    <row r="12" spans="1:4">
      <c r="A12" s="1279" t="s">
        <v>999</v>
      </c>
      <c r="B12" s="1280" t="s">
        <v>496</v>
      </c>
      <c r="C12" s="1279" t="str">
        <f>'Notes 2 - 9'!B47</f>
        <v>ACCUMULATED (SURPLUS)/DEFICIT</v>
      </c>
      <c r="D12" s="1280">
        <v>25</v>
      </c>
    </row>
    <row r="13" spans="1:4">
      <c r="A13" s="1279" t="s">
        <v>1000</v>
      </c>
      <c r="B13" s="1280" t="s">
        <v>496</v>
      </c>
      <c r="C13" s="1279" t="str">
        <f>'Notes 2 - 9'!B62</f>
        <v>BORROWINGS</v>
      </c>
      <c r="D13" s="1280">
        <v>26</v>
      </c>
    </row>
    <row r="14" spans="1:4">
      <c r="A14" s="1279" t="s">
        <v>1001</v>
      </c>
      <c r="B14" s="1280" t="s">
        <v>496</v>
      </c>
      <c r="C14" s="1279" t="str">
        <f>'Notes 2 - 9'!B101</f>
        <v>CONSUMER DEPOSITS</v>
      </c>
      <c r="D14" s="1280">
        <v>26</v>
      </c>
    </row>
    <row r="15" spans="1:4">
      <c r="A15" s="1279" t="s">
        <v>1002</v>
      </c>
      <c r="B15" s="1280" t="s">
        <v>496</v>
      </c>
      <c r="C15" s="1279" t="str">
        <f>'Notes 2 - 9'!B116</f>
        <v>NON-CURRENT PROVISIONS</v>
      </c>
      <c r="D15" s="1280">
        <v>27</v>
      </c>
    </row>
    <row r="16" spans="1:4">
      <c r="A16" s="1279" t="s">
        <v>1003</v>
      </c>
      <c r="B16" s="1280" t="s">
        <v>496</v>
      </c>
      <c r="C16" s="1279" t="str">
        <f>'Notes 2 - 9'!B166</f>
        <v>TRADE AND OTHER PAYABLES</v>
      </c>
      <c r="D16" s="1280">
        <v>28</v>
      </c>
    </row>
    <row r="17" spans="1:4">
      <c r="A17" s="1279" t="s">
        <v>1004</v>
      </c>
      <c r="B17" s="1280" t="s">
        <v>496</v>
      </c>
      <c r="C17" s="1279" t="str">
        <f>'Notes 2 - 9'!B194</f>
        <v>UNSPEND CONDITIONAL GRANTS FROM GOVERNMENT</v>
      </c>
      <c r="D17" s="1280">
        <v>28</v>
      </c>
    </row>
    <row r="18" spans="1:4" ht="14.25" customHeight="1">
      <c r="A18" s="1279" t="s">
        <v>1005</v>
      </c>
      <c r="B18" s="1280" t="s">
        <v>496</v>
      </c>
      <c r="C18" s="1279" t="str">
        <f>'Note 10'!B5</f>
        <v>PROPERTY, PLANT AND EQUIPMENT</v>
      </c>
      <c r="D18" s="1280">
        <v>29</v>
      </c>
    </row>
    <row r="19" spans="1:4" ht="14.25" customHeight="1">
      <c r="A19" s="1279" t="s">
        <v>1682</v>
      </c>
      <c r="B19" s="1280" t="s">
        <v>496</v>
      </c>
      <c r="C19" s="1279" t="str">
        <f>'Nota 10a '!B3</f>
        <v>INTANGIBLE ASSETS</v>
      </c>
      <c r="D19" s="1280">
        <v>30</v>
      </c>
    </row>
    <row r="20" spans="1:4" ht="14.25" customHeight="1">
      <c r="A20" s="1279" t="s">
        <v>1698</v>
      </c>
      <c r="B20" s="1280" t="s">
        <v>496</v>
      </c>
      <c r="C20" s="1279" t="str">
        <f>'Note 10b'!B3</f>
        <v>INVESTMENT PROPERTY</v>
      </c>
      <c r="D20" s="1280">
        <v>31</v>
      </c>
    </row>
    <row r="21" spans="1:4" ht="14.25" customHeight="1">
      <c r="A21" s="1279" t="s">
        <v>1006</v>
      </c>
      <c r="B21" s="1280" t="s">
        <v>496</v>
      </c>
      <c r="C21" s="1279" t="str">
        <f>'Note 11-14'!B5</f>
        <v>INTANGIBLE ASSETS</v>
      </c>
      <c r="D21" s="1280">
        <v>32</v>
      </c>
    </row>
    <row r="22" spans="1:4" ht="14.25" customHeight="1">
      <c r="A22" s="1279" t="s">
        <v>1007</v>
      </c>
      <c r="B22" s="1280" t="s">
        <v>496</v>
      </c>
      <c r="C22" s="1279" t="str">
        <f>'Note 11-14'!B21</f>
        <v>INVESTMENTS</v>
      </c>
      <c r="D22" s="1280">
        <v>32</v>
      </c>
    </row>
    <row r="23" spans="1:4" ht="14.25" customHeight="1">
      <c r="A23" s="1279" t="s">
        <v>1008</v>
      </c>
      <c r="B23" s="1280" t="s">
        <v>496</v>
      </c>
      <c r="C23" s="1279" t="str">
        <f>'Note 11-14'!B58</f>
        <v>NON CURRENT RECEIVABLES</v>
      </c>
      <c r="D23" s="1280">
        <v>32</v>
      </c>
    </row>
    <row r="24" spans="1:4" ht="14.25" customHeight="1">
      <c r="A24" s="1279" t="s">
        <v>1009</v>
      </c>
      <c r="B24" s="1280" t="s">
        <v>496</v>
      </c>
      <c r="C24" s="1279" t="str">
        <f>'Note 11-14'!B74</f>
        <v>INVENTORY</v>
      </c>
      <c r="D24" s="1280">
        <v>33</v>
      </c>
    </row>
    <row r="25" spans="1:4" ht="14.25" customHeight="1">
      <c r="A25" s="1279" t="s">
        <v>1010</v>
      </c>
      <c r="B25" s="1280" t="s">
        <v>496</v>
      </c>
      <c r="C25" s="1279" t="str">
        <f>'Note 15'!B5</f>
        <v>COMSUMER DEBTORS</v>
      </c>
      <c r="D25" s="1282" t="s">
        <v>2811</v>
      </c>
    </row>
    <row r="26" spans="1:4">
      <c r="A26" s="1279" t="s">
        <v>2343</v>
      </c>
      <c r="B26" s="1280" t="s">
        <v>496</v>
      </c>
      <c r="C26" s="1513" t="s">
        <v>1982</v>
      </c>
      <c r="D26" s="1282">
        <v>38</v>
      </c>
    </row>
    <row r="27" spans="1:4" ht="25.5">
      <c r="A27" s="1279" t="s">
        <v>2344</v>
      </c>
      <c r="B27" s="1280" t="s">
        <v>496</v>
      </c>
      <c r="C27" s="1295" t="s">
        <v>1983</v>
      </c>
      <c r="D27" s="1282">
        <v>38</v>
      </c>
    </row>
    <row r="28" spans="1:4" ht="14.25" customHeight="1">
      <c r="A28" s="1279" t="s">
        <v>1011</v>
      </c>
      <c r="B28" s="1280" t="s">
        <v>496</v>
      </c>
      <c r="C28" s="1279" t="str">
        <f>'Note 16-17'!B8</f>
        <v>OTHER RECEIVABLES</v>
      </c>
      <c r="D28" s="1280">
        <v>39</v>
      </c>
    </row>
    <row r="29" spans="1:4" ht="14.25" customHeight="1">
      <c r="A29" s="1279" t="s">
        <v>1012</v>
      </c>
      <c r="B29" s="1280" t="s">
        <v>496</v>
      </c>
      <c r="C29" s="1514" t="str">
        <f>'Note 16-17'!B28</f>
        <v>CASH AND CASH EQUIVALENTS</v>
      </c>
      <c r="D29" s="1282" t="s">
        <v>2812</v>
      </c>
    </row>
    <row r="30" spans="1:4" ht="14.25" customHeight="1">
      <c r="A30" s="1279" t="s">
        <v>1013</v>
      </c>
      <c r="B30" s="1280" t="s">
        <v>496</v>
      </c>
      <c r="C30" s="1279" t="str">
        <f>'Notes 18-39'!B5</f>
        <v>PROPERTY RATES</v>
      </c>
      <c r="D30" s="1280">
        <v>41</v>
      </c>
    </row>
    <row r="31" spans="1:4" ht="14.25" customHeight="1">
      <c r="A31" s="1279" t="s">
        <v>1014</v>
      </c>
      <c r="B31" s="1280" t="s">
        <v>496</v>
      </c>
      <c r="C31" s="1279" t="str">
        <f>'Notes 18-39'!B44</f>
        <v>SERVICE CHARGES</v>
      </c>
      <c r="D31" s="1280">
        <v>41</v>
      </c>
    </row>
    <row r="32" spans="1:4" ht="14.25" customHeight="1">
      <c r="A32" s="1279" t="s">
        <v>1015</v>
      </c>
      <c r="B32" s="1280" t="s">
        <v>496</v>
      </c>
      <c r="C32" s="1279" t="str">
        <f>'Notes 18-39'!B53</f>
        <v>RENTAL OF FACILITIES AND EQUIPMENT</v>
      </c>
      <c r="D32" s="1282">
        <v>41</v>
      </c>
    </row>
    <row r="33" spans="1:4" ht="14.25" customHeight="1">
      <c r="A33" s="1279" t="s">
        <v>1016</v>
      </c>
      <c r="B33" s="1280" t="s">
        <v>496</v>
      </c>
      <c r="C33" s="1279" t="str">
        <f>'Notes 18-39'!B64</f>
        <v>GOVERNMENT SUBSIDIES &amp; GRANTS</v>
      </c>
      <c r="D33" s="1282" t="s">
        <v>2813</v>
      </c>
    </row>
    <row r="34" spans="1:4" ht="14.25" customHeight="1">
      <c r="A34" s="1279" t="s">
        <v>1017</v>
      </c>
      <c r="B34" s="1280" t="s">
        <v>496</v>
      </c>
      <c r="C34" s="1279" t="str">
        <f>'Notes 18-39'!B147</f>
        <v>OTHER INCOME, PUBLIC CONTRIBUTIONS AND DONATIONS</v>
      </c>
      <c r="D34" s="1282" t="s">
        <v>2814</v>
      </c>
    </row>
    <row r="35" spans="1:4" ht="14.25" customHeight="1">
      <c r="A35" s="1279" t="s">
        <v>1018</v>
      </c>
      <c r="B35" s="1280" t="s">
        <v>496</v>
      </c>
      <c r="C35" s="1279" t="str">
        <f>'Notes 18-39'!B185</f>
        <v>INTEREST EARNED - EXTERNAL INVESTMENTS</v>
      </c>
      <c r="D35" s="1280">
        <v>44</v>
      </c>
    </row>
    <row r="36" spans="1:4" ht="14.25" customHeight="1">
      <c r="A36" s="1279" t="s">
        <v>1019</v>
      </c>
      <c r="B36" s="1280" t="s">
        <v>496</v>
      </c>
      <c r="C36" s="1279" t="str">
        <f>'Notes 18-39'!B196</f>
        <v>INTEREST OUTSTANDING DEBTORS</v>
      </c>
      <c r="D36" s="1280">
        <v>44</v>
      </c>
    </row>
    <row r="37" spans="1:4" ht="14.25" customHeight="1">
      <c r="A37" s="1279" t="s">
        <v>1020</v>
      </c>
      <c r="B37" s="1280" t="s">
        <v>496</v>
      </c>
      <c r="C37" s="1279" t="str">
        <f>'Notes 18-39'!B213</f>
        <v>EMPLOYEE RELATED COSTS</v>
      </c>
      <c r="D37" s="1282" t="s">
        <v>2815</v>
      </c>
    </row>
    <row r="38" spans="1:4" ht="14.25" customHeight="1">
      <c r="A38" s="1279" t="s">
        <v>1021</v>
      </c>
      <c r="B38" s="1280" t="s">
        <v>496</v>
      </c>
      <c r="C38" s="1279" t="str">
        <f>'Notes 18-39'!B274</f>
        <v>REMUNERATION OF COUNCILLORS</v>
      </c>
      <c r="D38" s="1280">
        <v>45</v>
      </c>
    </row>
    <row r="39" spans="1:4" ht="14.25" customHeight="1">
      <c r="A39" s="1279" t="s">
        <v>1022</v>
      </c>
      <c r="B39" s="1280" t="s">
        <v>496</v>
      </c>
      <c r="C39" s="1279" t="str">
        <f>'Notes 18-39'!B292</f>
        <v>DEPRECIATION AND AMORTISATION EXPENSE</v>
      </c>
      <c r="D39" s="1280">
        <v>46</v>
      </c>
    </row>
    <row r="40" spans="1:4" ht="14.25" customHeight="1">
      <c r="A40" s="1279" t="s">
        <v>1023</v>
      </c>
      <c r="B40" s="1280" t="s">
        <v>496</v>
      </c>
      <c r="C40" s="1279" t="str">
        <f>'Notes 18-39'!B303</f>
        <v>FINANCE COST</v>
      </c>
      <c r="D40" s="1280">
        <v>46</v>
      </c>
    </row>
    <row r="41" spans="1:4" ht="14.25" customHeight="1">
      <c r="A41" s="1279" t="s">
        <v>1024</v>
      </c>
      <c r="B41" s="1280" t="s">
        <v>496</v>
      </c>
      <c r="C41" s="1279" t="str">
        <f>'Notes 18-39'!B315</f>
        <v>BULK PURCHASES</v>
      </c>
      <c r="D41" s="1280">
        <v>46</v>
      </c>
    </row>
    <row r="42" spans="1:4" ht="14.25" customHeight="1">
      <c r="A42" s="1279" t="s">
        <v>1025</v>
      </c>
      <c r="B42" s="1280" t="s">
        <v>496</v>
      </c>
      <c r="C42" s="1279" t="str">
        <f>'Notes 18-39'!B325</f>
        <v>CONTRACTED SERVICES</v>
      </c>
      <c r="D42" s="1280">
        <v>46</v>
      </c>
    </row>
    <row r="43" spans="1:4" ht="14.25" customHeight="1">
      <c r="A43" s="1279" t="s">
        <v>1026</v>
      </c>
      <c r="B43" s="1280" t="s">
        <v>496</v>
      </c>
      <c r="C43" s="1279" t="str">
        <f>'Notes 18-39'!B336</f>
        <v>GRANT AND SUBSIDIES PAID</v>
      </c>
      <c r="D43" s="1280">
        <v>46</v>
      </c>
    </row>
    <row r="44" spans="1:4" ht="14.25" customHeight="1">
      <c r="A44" s="1279" t="s">
        <v>1027</v>
      </c>
      <c r="B44" s="1280" t="s">
        <v>496</v>
      </c>
      <c r="C44" s="1279" t="str">
        <f>'Notes 18-39'!B348</f>
        <v xml:space="preserve">GENERAL EXPENSES </v>
      </c>
      <c r="D44" s="1280">
        <v>47</v>
      </c>
    </row>
    <row r="45" spans="1:4">
      <c r="A45" s="1279" t="s">
        <v>1028</v>
      </c>
      <c r="B45" s="1280" t="s">
        <v>496</v>
      </c>
      <c r="C45" s="1279" t="str">
        <f>'Notes 18-39'!B419</f>
        <v>CORRECTION OF ERROR</v>
      </c>
      <c r="D45" s="1282">
        <v>48</v>
      </c>
    </row>
    <row r="46" spans="1:4" ht="14.25" customHeight="1">
      <c r="A46" s="1279" t="s">
        <v>1029</v>
      </c>
      <c r="B46" s="1280" t="s">
        <v>496</v>
      </c>
      <c r="C46" s="1279" t="str">
        <f>'Notes 18-39'!B451</f>
        <v>CHANGE IN ESTIMATE</v>
      </c>
      <c r="D46" s="1280">
        <v>48</v>
      </c>
    </row>
    <row r="47" spans="1:4" ht="14.25" customHeight="1">
      <c r="A47" s="1279" t="s">
        <v>1030</v>
      </c>
      <c r="B47" s="1280" t="s">
        <v>496</v>
      </c>
      <c r="C47" s="1279" t="str">
        <f>'Notes 18-39'!B458</f>
        <v>CASH GENERATED FROM/(UTILISED IN) OPERATIONS</v>
      </c>
      <c r="D47" s="1280">
        <v>49</v>
      </c>
    </row>
    <row r="48" spans="1:4" ht="14.25" customHeight="1">
      <c r="A48" s="1279" t="s">
        <v>1031</v>
      </c>
      <c r="B48" s="1280" t="s">
        <v>496</v>
      </c>
      <c r="C48" s="1279" t="str">
        <f>'Notes 18-39'!B496</f>
        <v>UTILISATION OF LONG TERM LIABILITIES RECONCILIATION</v>
      </c>
      <c r="D48" s="1282">
        <v>49</v>
      </c>
    </row>
    <row r="49" spans="1:4" ht="14.25" customHeight="1">
      <c r="A49" s="1279" t="s">
        <v>1032</v>
      </c>
      <c r="B49" s="1280" t="s">
        <v>496</v>
      </c>
      <c r="C49" s="1279" t="str">
        <f>'Notes 18-39'!B507</f>
        <v>CAPITAL COMMITMENTS</v>
      </c>
      <c r="D49" s="1280">
        <v>50</v>
      </c>
    </row>
    <row r="50" spans="1:4" ht="14.25" customHeight="1">
      <c r="A50" s="1279" t="s">
        <v>1033</v>
      </c>
      <c r="B50" s="1280" t="s">
        <v>496</v>
      </c>
      <c r="C50" s="1279" t="str">
        <f>'Notes 18-39'!B541</f>
        <v>OPERATING LEASES</v>
      </c>
      <c r="D50" s="1280">
        <v>50</v>
      </c>
    </row>
    <row r="51" spans="1:4" ht="25.5">
      <c r="A51" s="1279" t="s">
        <v>1034</v>
      </c>
      <c r="B51" s="1280" t="s">
        <v>496</v>
      </c>
      <c r="C51" s="1279" t="str">
        <f>'Notes 18-39'!B573</f>
        <v xml:space="preserve">ADDITIONAL DISCLOSURES IN TERMS OF SECTION 125 OF MUNICIPAL FINANCE MANAGEMENT ACT, 2003 </v>
      </c>
      <c r="D51" s="1282" t="s">
        <v>2816</v>
      </c>
    </row>
    <row r="52" spans="1:4">
      <c r="A52" s="1279" t="s">
        <v>1035</v>
      </c>
      <c r="B52" s="1280" t="s">
        <v>496</v>
      </c>
      <c r="C52" s="1279" t="str">
        <f>'Note 44-50'!B5</f>
        <v>CONTINGENT LIABILITIES</v>
      </c>
      <c r="D52" s="1280">
        <v>54</v>
      </c>
    </row>
    <row r="53" spans="1:4">
      <c r="A53" s="1279" t="s">
        <v>9</v>
      </c>
      <c r="B53" s="1280" t="s">
        <v>496</v>
      </c>
      <c r="C53" s="1279" t="str">
        <f>'Note 44-50'!B28</f>
        <v>IN-KIND DONATIONS AND ASSISTANCE</v>
      </c>
      <c r="D53" s="1280">
        <v>54</v>
      </c>
    </row>
    <row r="54" spans="1:4">
      <c r="A54" s="1279" t="s">
        <v>10</v>
      </c>
      <c r="B54" s="1280" t="s">
        <v>496</v>
      </c>
      <c r="C54" s="1279" t="str">
        <f>'Note 44-50'!B39</f>
        <v>RELATED PARTY DISCLOSURES</v>
      </c>
      <c r="D54" s="1282" t="s">
        <v>2817</v>
      </c>
    </row>
    <row r="55" spans="1:4">
      <c r="A55" s="1279" t="s">
        <v>1451</v>
      </c>
      <c r="B55" s="1280" t="s">
        <v>496</v>
      </c>
      <c r="C55" s="1279" t="str">
        <f>'Note 44-50'!B140</f>
        <v>INCOME FOREGONE</v>
      </c>
      <c r="D55" s="1280">
        <v>57</v>
      </c>
    </row>
    <row r="56" spans="1:4">
      <c r="A56" s="1279" t="s">
        <v>1683</v>
      </c>
      <c r="B56" s="1280" t="s">
        <v>496</v>
      </c>
      <c r="C56" s="1279" t="str">
        <f>'Note 44-50'!B149</f>
        <v>ELECTRICITY PRE-PAID POWER CARDS</v>
      </c>
      <c r="D56" s="1280">
        <v>57</v>
      </c>
    </row>
    <row r="57" spans="1:4" ht="25.5">
      <c r="A57" s="1279" t="s">
        <v>1684</v>
      </c>
      <c r="B57" s="1280" t="s">
        <v>496</v>
      </c>
      <c r="C57" s="1279" t="str">
        <f>'Note 44-50'!B163</f>
        <v>UNAUTHORISED, IRREGULAR, FRUITLESS AND WASTEFUL EXPENDITURE DISALLOWED</v>
      </c>
      <c r="D57" s="1282" t="s">
        <v>2818</v>
      </c>
    </row>
    <row r="58" spans="1:4">
      <c r="A58" s="1279" t="s">
        <v>1685</v>
      </c>
      <c r="B58" s="1280" t="s">
        <v>496</v>
      </c>
      <c r="C58" s="1279" t="str">
        <f>'Note 44-50'!B240</f>
        <v>RETIREMENT BENEFIT INFORMATION</v>
      </c>
      <c r="D58" s="1280">
        <v>59</v>
      </c>
    </row>
    <row r="59" spans="1:4">
      <c r="A59" s="1279" t="s">
        <v>1686</v>
      </c>
      <c r="B59" s="1280" t="s">
        <v>496</v>
      </c>
      <c r="C59" s="1279" t="str">
        <f>'Note 44-50'!B253</f>
        <v>RISK MANAGEMENT</v>
      </c>
      <c r="D59" s="1280">
        <v>60</v>
      </c>
    </row>
    <row r="60" spans="1:4">
      <c r="A60" s="1279" t="s">
        <v>2347</v>
      </c>
      <c r="B60" s="1280" t="s">
        <v>496</v>
      </c>
      <c r="C60" s="1279" t="str">
        <f>'Note 44-50'!B273</f>
        <v>COMPARISON WITH THE BUDGET</v>
      </c>
      <c r="D60" s="1280">
        <v>60</v>
      </c>
    </row>
    <row r="61" spans="1:4">
      <c r="A61" s="1569" t="s">
        <v>2347</v>
      </c>
      <c r="B61" s="1280" t="s">
        <v>496</v>
      </c>
      <c r="C61" s="1569" t="str">
        <f>'Note 44-50'!B277</f>
        <v>POST- RETIREMENT MEDICAL AID BENEFITS</v>
      </c>
      <c r="D61" s="1280">
        <v>60</v>
      </c>
    </row>
    <row r="62" spans="1:4">
      <c r="A62" s="1515" t="s">
        <v>11</v>
      </c>
      <c r="B62" s="1280" t="s">
        <v>496</v>
      </c>
      <c r="C62" s="1279" t="s">
        <v>679</v>
      </c>
      <c r="D62" s="1280">
        <v>61</v>
      </c>
    </row>
    <row r="63" spans="1:4">
      <c r="A63" s="1515" t="s">
        <v>12</v>
      </c>
      <c r="B63" s="1280" t="s">
        <v>496</v>
      </c>
      <c r="C63" s="1279" t="s">
        <v>680</v>
      </c>
      <c r="D63" s="1280">
        <v>62</v>
      </c>
    </row>
    <row r="64" spans="1:4">
      <c r="A64" s="1515" t="s">
        <v>1694</v>
      </c>
      <c r="B64" s="1280" t="s">
        <v>496</v>
      </c>
      <c r="C64" s="1279" t="s">
        <v>1690</v>
      </c>
      <c r="D64" s="1280">
        <v>63</v>
      </c>
    </row>
    <row r="65" spans="1:17">
      <c r="A65" s="1515" t="s">
        <v>1695</v>
      </c>
      <c r="B65" s="1280" t="s">
        <v>496</v>
      </c>
      <c r="C65" s="1279" t="s">
        <v>1693</v>
      </c>
      <c r="D65" s="1280">
        <v>64</v>
      </c>
      <c r="E65" s="32"/>
      <c r="F65" s="32"/>
      <c r="G65" s="32"/>
      <c r="H65" s="32"/>
      <c r="I65" s="32"/>
      <c r="J65" s="32"/>
      <c r="K65" s="32"/>
      <c r="L65" s="32"/>
      <c r="M65" s="32"/>
      <c r="N65" s="32"/>
      <c r="O65" s="32"/>
      <c r="P65" s="32"/>
      <c r="Q65" s="32"/>
    </row>
    <row r="66" spans="1:17">
      <c r="A66" s="1515" t="s">
        <v>673</v>
      </c>
      <c r="B66" s="1280" t="s">
        <v>496</v>
      </c>
      <c r="C66" s="1279" t="s">
        <v>681</v>
      </c>
      <c r="D66" s="1280">
        <v>65</v>
      </c>
      <c r="E66" s="130"/>
      <c r="F66" s="130"/>
      <c r="G66" s="130"/>
      <c r="H66" s="130"/>
    </row>
    <row r="67" spans="1:17">
      <c r="A67" s="1515" t="s">
        <v>1696</v>
      </c>
      <c r="B67" s="1280" t="s">
        <v>496</v>
      </c>
      <c r="C67" s="1279" t="s">
        <v>1691</v>
      </c>
      <c r="D67" s="1280">
        <v>66</v>
      </c>
      <c r="E67" s="130"/>
      <c r="F67" s="130"/>
      <c r="G67" s="130"/>
      <c r="H67" s="130"/>
    </row>
    <row r="68" spans="1:17">
      <c r="A68" s="1515" t="s">
        <v>1697</v>
      </c>
      <c r="B68" s="1280" t="s">
        <v>496</v>
      </c>
      <c r="C68" s="1279" t="s">
        <v>1692</v>
      </c>
      <c r="D68" s="1280">
        <v>67</v>
      </c>
    </row>
    <row r="69" spans="1:17">
      <c r="A69" s="1515" t="s">
        <v>674</v>
      </c>
      <c r="B69" s="1280" t="s">
        <v>496</v>
      </c>
      <c r="C69" s="1279" t="s">
        <v>1687</v>
      </c>
      <c r="D69" s="1280">
        <v>68</v>
      </c>
    </row>
    <row r="70" spans="1:17">
      <c r="A70" s="1515" t="s">
        <v>675</v>
      </c>
      <c r="B70" s="1280" t="s">
        <v>496</v>
      </c>
      <c r="C70" s="1279" t="s">
        <v>2350</v>
      </c>
      <c r="D70" s="1280">
        <v>69</v>
      </c>
    </row>
    <row r="71" spans="1:17">
      <c r="A71" s="1515" t="s">
        <v>1984</v>
      </c>
      <c r="B71" s="1280" t="s">
        <v>496</v>
      </c>
      <c r="C71" s="1279" t="s">
        <v>1985</v>
      </c>
      <c r="D71" s="1282" t="s">
        <v>2819</v>
      </c>
    </row>
    <row r="72" spans="1:17">
      <c r="A72" s="1515" t="s">
        <v>676</v>
      </c>
      <c r="B72" s="1280" t="s">
        <v>496</v>
      </c>
      <c r="C72" s="1279" t="s">
        <v>1048</v>
      </c>
      <c r="D72" s="1280">
        <v>73</v>
      </c>
    </row>
    <row r="73" spans="1:17">
      <c r="A73" s="1515" t="s">
        <v>677</v>
      </c>
      <c r="B73" s="1280" t="s">
        <v>496</v>
      </c>
      <c r="C73" s="1279" t="s">
        <v>1547</v>
      </c>
      <c r="D73" s="1280">
        <v>74</v>
      </c>
    </row>
    <row r="74" spans="1:17">
      <c r="A74" s="1515" t="s">
        <v>678</v>
      </c>
      <c r="B74" s="1280" t="s">
        <v>496</v>
      </c>
      <c r="C74" s="1279" t="s">
        <v>682</v>
      </c>
      <c r="D74" s="1280">
        <v>75</v>
      </c>
    </row>
    <row r="121" spans="7:7">
      <c r="G121" s="1480">
        <v>5253981.1399999997</v>
      </c>
    </row>
  </sheetData>
  <mergeCells count="6">
    <mergeCell ref="A7:C7"/>
    <mergeCell ref="A3:C3"/>
    <mergeCell ref="A1:D1"/>
    <mergeCell ref="A4:C4"/>
    <mergeCell ref="A5:C5"/>
    <mergeCell ref="A6:C6"/>
  </mergeCells>
  <phoneticPr fontId="13" type="noConversion"/>
  <printOptions horizontalCentered="1"/>
  <pageMargins left="0.59055118110236227" right="0.39370078740157483" top="0.59055118110236227" bottom="0.39370078740157483" header="0" footer="0"/>
  <pageSetup scale="98" fitToHeight="2" orientation="portrait" r:id="rId1"/>
  <headerFooter alignWithMargins="0">
    <oddHeader>&amp;C FINANCIAL STATEMENTS: MUSINA LOCAL MUNICIPALITY</oddHeader>
  </headerFooter>
</worksheet>
</file>

<file path=xl/worksheets/sheet20.xml><?xml version="1.0" encoding="utf-8"?>
<worksheet xmlns="http://schemas.openxmlformats.org/spreadsheetml/2006/main" xmlns:r="http://schemas.openxmlformats.org/officeDocument/2006/relationships">
  <dimension ref="A1:O851"/>
  <sheetViews>
    <sheetView view="pageBreakPreview" zoomScale="90" zoomScaleSheetLayoutView="90" workbookViewId="0">
      <selection activeCell="A27" sqref="A27"/>
    </sheetView>
  </sheetViews>
  <sheetFormatPr defaultRowHeight="12.75"/>
  <cols>
    <col min="1" max="1" width="5.5703125" style="1202" bestFit="1" customWidth="1"/>
    <col min="2" max="2" width="50.7109375" style="313" customWidth="1"/>
    <col min="3" max="3" width="2.28515625" style="313" customWidth="1"/>
    <col min="4" max="4" width="17.85546875" style="334" customWidth="1"/>
    <col min="5" max="5" width="2.28515625" style="313" customWidth="1"/>
    <col min="6" max="6" width="17.5703125" style="1197" customWidth="1"/>
    <col min="7" max="7" width="2.28515625" style="1197" customWidth="1"/>
    <col min="8" max="8" width="2.7109375" style="1197" customWidth="1"/>
    <col min="9" max="9" width="2.28515625" style="1197" customWidth="1"/>
    <col min="10" max="10" width="13.42578125" style="317" customWidth="1"/>
    <col min="11" max="11" width="2.28515625" style="1197" customWidth="1"/>
    <col min="12" max="12" width="22.42578125" style="1197" customWidth="1"/>
    <col min="13" max="13" width="15" style="334" bestFit="1" customWidth="1"/>
    <col min="14" max="14" width="9.140625" style="334" customWidth="1"/>
    <col min="15" max="15" width="14.5703125" style="334" bestFit="1" customWidth="1"/>
    <col min="16" max="16384" width="9.140625" style="313"/>
  </cols>
  <sheetData>
    <row r="1" spans="1:12" ht="13.5" thickTop="1">
      <c r="A1" s="1734" t="s">
        <v>1349</v>
      </c>
      <c r="B1" s="1735"/>
      <c r="C1" s="1735"/>
      <c r="D1" s="1735"/>
      <c r="E1" s="1735"/>
      <c r="F1" s="1735"/>
      <c r="G1" s="1735"/>
      <c r="H1" s="1735"/>
      <c r="I1" s="1735"/>
      <c r="J1" s="1735"/>
      <c r="K1" s="1735"/>
    </row>
    <row r="2" spans="1:12">
      <c r="A2" s="1736" t="s">
        <v>1799</v>
      </c>
      <c r="B2" s="1695"/>
      <c r="C2" s="1695"/>
      <c r="D2" s="1695"/>
      <c r="E2" s="1695"/>
      <c r="F2" s="1695"/>
      <c r="G2" s="1695"/>
      <c r="H2" s="1695"/>
      <c r="I2" s="1695"/>
      <c r="J2" s="1695"/>
      <c r="K2" s="1695"/>
    </row>
    <row r="3" spans="1:12">
      <c r="A3" s="242"/>
      <c r="B3" s="1197"/>
      <c r="C3" s="1197"/>
      <c r="D3" s="317"/>
      <c r="E3" s="1197"/>
    </row>
    <row r="4" spans="1:12">
      <c r="A4" s="242"/>
      <c r="B4" s="1197"/>
      <c r="C4" s="1197"/>
      <c r="D4" s="317"/>
      <c r="E4" s="1197"/>
    </row>
    <row r="5" spans="1:12">
      <c r="A5" s="1199">
        <v>40</v>
      </c>
      <c r="B5" s="142" t="s">
        <v>1342</v>
      </c>
      <c r="C5" s="1197"/>
      <c r="D5" s="140" t="s">
        <v>2077</v>
      </c>
      <c r="E5" s="1197"/>
      <c r="F5" s="140" t="s">
        <v>1796</v>
      </c>
      <c r="G5" s="1192"/>
      <c r="H5" s="1192"/>
      <c r="I5" s="1192"/>
      <c r="J5" s="1192"/>
    </row>
    <row r="6" spans="1:12">
      <c r="A6" s="718"/>
      <c r="B6" s="211"/>
      <c r="C6" s="211"/>
      <c r="D6" s="211"/>
      <c r="E6" s="1197"/>
      <c r="F6" s="328"/>
    </row>
    <row r="7" spans="1:12">
      <c r="A7" s="242"/>
      <c r="B7" s="1200" t="s">
        <v>2539</v>
      </c>
      <c r="C7" s="1190"/>
      <c r="D7" s="358">
        <v>2500000</v>
      </c>
      <c r="E7" s="1197"/>
      <c r="F7" s="719"/>
    </row>
    <row r="8" spans="1:12">
      <c r="A8" s="242"/>
      <c r="B8" s="1570" t="s">
        <v>2903</v>
      </c>
      <c r="C8" s="1190"/>
      <c r="D8" s="359">
        <v>3878746</v>
      </c>
      <c r="E8" s="1197"/>
      <c r="F8" s="728"/>
    </row>
    <row r="9" spans="1:12">
      <c r="A9" s="242"/>
      <c r="B9" s="1570" t="s">
        <v>36</v>
      </c>
      <c r="C9" s="1190"/>
      <c r="D9" s="359">
        <v>0</v>
      </c>
      <c r="E9" s="1197"/>
      <c r="F9" s="728"/>
    </row>
    <row r="10" spans="1:12">
      <c r="A10" s="242"/>
      <c r="B10" s="1570" t="s">
        <v>36</v>
      </c>
      <c r="C10" s="1190"/>
      <c r="D10" s="359">
        <v>0</v>
      </c>
      <c r="E10" s="1197"/>
      <c r="F10" s="181"/>
    </row>
    <row r="11" spans="1:12">
      <c r="A11" s="242"/>
      <c r="B11" s="1198"/>
      <c r="C11" s="1197"/>
      <c r="D11" s="636"/>
      <c r="E11" s="1197"/>
      <c r="F11" s="338"/>
    </row>
    <row r="12" spans="1:12">
      <c r="A12" s="242"/>
      <c r="B12" s="1198"/>
      <c r="C12" s="1197"/>
      <c r="D12" s="1197"/>
      <c r="E12" s="1197"/>
      <c r="F12" s="317"/>
      <c r="L12" s="1197" t="s">
        <v>36</v>
      </c>
    </row>
    <row r="13" spans="1:12" ht="13.5" thickBot="1">
      <c r="A13" s="242"/>
      <c r="B13" s="142" t="s">
        <v>1108</v>
      </c>
      <c r="C13" s="1197"/>
      <c r="D13" s="637">
        <f>SUM(D7:D12)</f>
        <v>6378746</v>
      </c>
      <c r="E13" s="1197"/>
      <c r="F13" s="637">
        <f>SUM(F10:F12)</f>
        <v>0</v>
      </c>
      <c r="J13" s="136"/>
    </row>
    <row r="14" spans="1:12" ht="13.5" thickTop="1">
      <c r="A14" s="243"/>
      <c r="B14" s="314"/>
      <c r="C14" s="314"/>
      <c r="D14" s="315"/>
      <c r="E14" s="314"/>
      <c r="F14" s="314"/>
      <c r="G14" s="314"/>
      <c r="H14" s="314"/>
    </row>
    <row r="15" spans="1:12" hidden="1">
      <c r="A15" s="242"/>
      <c r="B15" s="1197"/>
      <c r="C15" s="1197"/>
      <c r="D15" s="317"/>
      <c r="E15" s="1197"/>
    </row>
    <row r="16" spans="1:12" hidden="1">
      <c r="A16" s="1199">
        <v>49</v>
      </c>
      <c r="B16" s="135" t="s">
        <v>489</v>
      </c>
      <c r="C16" s="1197"/>
      <c r="D16" s="140" t="s">
        <v>2077</v>
      </c>
      <c r="E16" s="1197"/>
      <c r="F16" s="140" t="s">
        <v>1796</v>
      </c>
    </row>
    <row r="17" spans="1:15" hidden="1">
      <c r="A17" s="1199"/>
      <c r="B17" s="135"/>
      <c r="C17" s="1197"/>
      <c r="D17" s="1192"/>
      <c r="E17" s="1197"/>
      <c r="F17" s="1192"/>
    </row>
    <row r="18" spans="1:15" s="723" customFormat="1" ht="25.5" hidden="1">
      <c r="A18" s="718"/>
      <c r="B18" s="211" t="s">
        <v>1120</v>
      </c>
      <c r="C18" s="211"/>
      <c r="D18" s="211"/>
      <c r="E18" s="211"/>
      <c r="F18" s="328"/>
      <c r="G18" s="211"/>
      <c r="H18" s="211"/>
      <c r="I18" s="211"/>
      <c r="J18" s="211"/>
      <c r="K18" s="721"/>
      <c r="L18" s="721"/>
      <c r="M18" s="722"/>
      <c r="N18" s="722"/>
      <c r="O18" s="722"/>
    </row>
    <row r="19" spans="1:15" s="723" customFormat="1" hidden="1">
      <c r="A19" s="718"/>
      <c r="B19" s="211"/>
      <c r="C19" s="211"/>
      <c r="D19" s="724"/>
      <c r="E19" s="211"/>
      <c r="F19" s="725"/>
      <c r="G19" s="211"/>
      <c r="H19" s="211"/>
      <c r="I19" s="211"/>
      <c r="J19" s="211"/>
      <c r="K19" s="721"/>
      <c r="L19" s="721"/>
      <c r="M19" s="722"/>
      <c r="N19" s="722"/>
      <c r="O19" s="722"/>
    </row>
    <row r="20" spans="1:15" s="723" customFormat="1" hidden="1">
      <c r="A20" s="718"/>
      <c r="B20" s="211"/>
      <c r="C20" s="211"/>
      <c r="D20" s="726"/>
      <c r="E20" s="211"/>
      <c r="F20" s="727"/>
      <c r="G20" s="211"/>
      <c r="H20" s="211"/>
      <c r="I20" s="211"/>
      <c r="J20" s="211"/>
      <c r="K20" s="721"/>
      <c r="L20" s="721"/>
      <c r="M20" s="722"/>
      <c r="N20" s="722"/>
      <c r="O20" s="722"/>
    </row>
    <row r="21" spans="1:15" s="1202" customFormat="1" hidden="1">
      <c r="A21" s="242"/>
      <c r="B21" s="1190"/>
      <c r="C21" s="1190"/>
      <c r="D21" s="720"/>
      <c r="E21" s="1190"/>
      <c r="F21" s="728"/>
      <c r="G21" s="1190"/>
      <c r="H21" s="1190"/>
      <c r="I21" s="1190"/>
      <c r="J21" s="1192"/>
      <c r="K21" s="1190"/>
      <c r="L21" s="1190"/>
      <c r="M21" s="189"/>
      <c r="N21" s="189"/>
      <c r="O21" s="189"/>
    </row>
    <row r="22" spans="1:15" ht="14.25" hidden="1" customHeight="1">
      <c r="A22" s="242"/>
      <c r="B22" s="1198"/>
      <c r="C22" s="1197"/>
      <c r="D22" s="636"/>
      <c r="E22" s="1197"/>
      <c r="F22" s="338"/>
    </row>
    <row r="23" spans="1:15" ht="14.25" hidden="1" customHeight="1">
      <c r="A23" s="242"/>
      <c r="B23" s="1198"/>
      <c r="C23" s="1197"/>
      <c r="D23" s="1197"/>
      <c r="E23" s="1197"/>
      <c r="F23" s="317"/>
    </row>
    <row r="24" spans="1:15" ht="13.5" hidden="1" thickBot="1">
      <c r="A24" s="242"/>
      <c r="B24" s="142" t="s">
        <v>1108</v>
      </c>
      <c r="C24" s="1197"/>
      <c r="D24" s="637">
        <f>SUM(D19:D21)</f>
        <v>0</v>
      </c>
      <c r="E24" s="1197"/>
      <c r="F24" s="637">
        <f>SUM(F19:F21)</f>
        <v>0</v>
      </c>
      <c r="J24" s="136"/>
    </row>
    <row r="25" spans="1:15" ht="13.5" hidden="1" thickTop="1">
      <c r="A25" s="242"/>
      <c r="B25" s="142"/>
      <c r="C25" s="1197"/>
      <c r="D25" s="317"/>
      <c r="E25" s="1197"/>
      <c r="J25" s="136"/>
    </row>
    <row r="26" spans="1:15" hidden="1">
      <c r="A26" s="243"/>
      <c r="B26" s="729"/>
      <c r="C26" s="314"/>
      <c r="D26" s="315"/>
      <c r="E26" s="314"/>
      <c r="F26" s="314"/>
      <c r="G26" s="314"/>
      <c r="H26" s="314"/>
      <c r="J26" s="136"/>
    </row>
    <row r="27" spans="1:15">
      <c r="A27" s="242"/>
      <c r="B27" s="142"/>
      <c r="C27" s="1197"/>
      <c r="D27" s="317"/>
      <c r="E27" s="1197"/>
      <c r="J27" s="136"/>
    </row>
    <row r="28" spans="1:15">
      <c r="A28" s="242">
        <v>41</v>
      </c>
      <c r="B28" s="125" t="s">
        <v>2158</v>
      </c>
      <c r="C28" s="1197"/>
      <c r="D28" s="140" t="s">
        <v>2077</v>
      </c>
      <c r="E28" s="1197"/>
      <c r="F28" s="140" t="s">
        <v>1796</v>
      </c>
      <c r="J28" s="136"/>
    </row>
    <row r="29" spans="1:15">
      <c r="A29" s="242"/>
      <c r="B29" s="363"/>
      <c r="C29" s="1197"/>
      <c r="D29" s="317"/>
      <c r="E29" s="1197"/>
      <c r="J29" s="136"/>
    </row>
    <row r="30" spans="1:15" ht="25.5">
      <c r="A30" s="242"/>
      <c r="B30" s="408" t="s">
        <v>2159</v>
      </c>
      <c r="C30" s="1197"/>
      <c r="D30" s="317"/>
      <c r="E30" s="1197"/>
      <c r="J30" s="136"/>
    </row>
    <row r="31" spans="1:15">
      <c r="A31" s="242"/>
      <c r="B31" s="363"/>
      <c r="C31" s="1197"/>
      <c r="D31" s="317"/>
      <c r="E31" s="1197"/>
      <c r="J31" s="136"/>
    </row>
    <row r="32" spans="1:15">
      <c r="A32" s="242"/>
      <c r="B32" s="940" t="s">
        <v>2160</v>
      </c>
      <c r="C32" s="1197"/>
      <c r="D32" s="317"/>
      <c r="E32" s="1197"/>
      <c r="J32" s="136"/>
    </row>
    <row r="33" spans="1:10">
      <c r="A33" s="242"/>
      <c r="B33" s="940"/>
      <c r="C33" s="1197"/>
      <c r="D33" s="317"/>
      <c r="E33" s="1197"/>
      <c r="J33" s="136"/>
    </row>
    <row r="34" spans="1:10">
      <c r="A34" s="242"/>
      <c r="B34" s="408" t="s">
        <v>2761</v>
      </c>
      <c r="C34" s="1197"/>
      <c r="D34" s="317">
        <v>40000</v>
      </c>
      <c r="E34" s="1197"/>
      <c r="J34" s="136"/>
    </row>
    <row r="35" spans="1:10" ht="13.5" thickBot="1">
      <c r="A35" s="242"/>
      <c r="B35" s="142"/>
      <c r="C35" s="1197"/>
      <c r="D35" s="637">
        <f>SUM(D34)</f>
        <v>40000</v>
      </c>
      <c r="E35" s="1197"/>
      <c r="J35" s="136"/>
    </row>
    <row r="36" spans="1:10" ht="13.5" thickTop="1">
      <c r="A36" s="243"/>
      <c r="B36" s="314"/>
      <c r="C36" s="314"/>
      <c r="D36" s="315"/>
      <c r="E36" s="314"/>
      <c r="F36" s="314"/>
      <c r="G36" s="314"/>
      <c r="H36" s="314"/>
    </row>
    <row r="37" spans="1:10" hidden="1">
      <c r="A37" s="242"/>
      <c r="B37" s="1197"/>
      <c r="C37" s="1197"/>
      <c r="D37" s="317"/>
      <c r="E37" s="1197"/>
    </row>
    <row r="38" spans="1:10" hidden="1">
      <c r="A38" s="243"/>
      <c r="B38" s="314"/>
      <c r="C38" s="314"/>
      <c r="D38" s="315"/>
      <c r="E38" s="314"/>
      <c r="F38" s="314"/>
      <c r="G38" s="314"/>
      <c r="H38" s="314"/>
    </row>
    <row r="39" spans="1:10">
      <c r="A39" s="242">
        <v>42</v>
      </c>
      <c r="B39" s="135" t="s">
        <v>1435</v>
      </c>
      <c r="C39" s="1197"/>
      <c r="D39" s="317"/>
      <c r="E39" s="1197"/>
    </row>
    <row r="40" spans="1:10">
      <c r="A40" s="242">
        <v>42.1</v>
      </c>
      <c r="B40" s="730" t="s">
        <v>36</v>
      </c>
      <c r="C40" s="1197"/>
      <c r="D40" s="317"/>
      <c r="E40" s="1197"/>
    </row>
    <row r="41" spans="1:10">
      <c r="A41" s="242"/>
      <c r="B41" s="135" t="s">
        <v>2767</v>
      </c>
      <c r="C41" s="1197"/>
      <c r="D41" s="317"/>
      <c r="E41" s="1197"/>
    </row>
    <row r="42" spans="1:10">
      <c r="A42" s="242"/>
      <c r="B42" s="1703" t="s">
        <v>2768</v>
      </c>
      <c r="C42" s="1703"/>
      <c r="D42" s="1703"/>
      <c r="E42" s="1703"/>
      <c r="F42" s="1703"/>
      <c r="G42" s="1703"/>
      <c r="H42" s="1198"/>
      <c r="I42" s="1198"/>
      <c r="J42" s="1198"/>
    </row>
    <row r="43" spans="1:10" ht="22.5" customHeight="1">
      <c r="A43" s="242"/>
      <c r="B43" s="1703" t="s">
        <v>2769</v>
      </c>
      <c r="C43" s="1703"/>
      <c r="D43" s="1703"/>
      <c r="E43" s="1703"/>
      <c r="F43" s="1703"/>
      <c r="G43" s="1703"/>
      <c r="H43" s="1198"/>
      <c r="I43" s="1193"/>
      <c r="J43" s="1193"/>
    </row>
    <row r="44" spans="1:10" ht="55.5" customHeight="1">
      <c r="A44" s="242"/>
      <c r="B44" s="1738" t="s">
        <v>2770</v>
      </c>
      <c r="C44" s="1738"/>
      <c r="D44" s="1738"/>
      <c r="E44" s="1738"/>
      <c r="F44" s="1738"/>
      <c r="G44" s="1193"/>
      <c r="H44" s="1198"/>
      <c r="I44" s="1193"/>
      <c r="J44" s="1193"/>
    </row>
    <row r="45" spans="1:10" ht="36.75" hidden="1" customHeight="1">
      <c r="A45" s="242"/>
      <c r="B45" s="1193"/>
      <c r="C45" s="1193"/>
      <c r="D45" s="1193"/>
      <c r="E45" s="1193"/>
      <c r="F45" s="1193"/>
      <c r="G45" s="1193"/>
      <c r="H45" s="1198"/>
      <c r="I45" s="1193"/>
      <c r="J45" s="1193"/>
    </row>
    <row r="46" spans="1:10" ht="36.75" customHeight="1">
      <c r="A46" s="242"/>
      <c r="B46" s="363" t="s">
        <v>2771</v>
      </c>
      <c r="C46" s="1217"/>
      <c r="D46" s="1217"/>
      <c r="E46" s="1217"/>
      <c r="F46" s="1217"/>
      <c r="G46" s="1218"/>
      <c r="H46" s="1217"/>
      <c r="I46" s="1217"/>
      <c r="J46" s="1217"/>
    </row>
    <row r="47" spans="1:10" ht="15">
      <c r="A47" s="242"/>
      <c r="B47" s="363" t="s">
        <v>2772</v>
      </c>
      <c r="C47" s="1217"/>
      <c r="D47" s="1217"/>
      <c r="E47" s="1217"/>
      <c r="F47" s="1217"/>
      <c r="G47" s="1218"/>
      <c r="H47" s="1217"/>
      <c r="I47" s="1217"/>
      <c r="J47" s="1217"/>
    </row>
    <row r="48" spans="1:10" ht="15">
      <c r="A48" s="242"/>
      <c r="B48" s="363" t="s">
        <v>284</v>
      </c>
      <c r="C48" s="1217"/>
      <c r="D48" s="1219">
        <v>284798</v>
      </c>
      <c r="E48" s="1217"/>
      <c r="F48" s="1217"/>
      <c r="G48" s="1218"/>
      <c r="H48" s="1220"/>
      <c r="I48" s="1217"/>
      <c r="J48" s="1217"/>
    </row>
    <row r="49" spans="1:10" ht="15">
      <c r="A49" s="242"/>
      <c r="B49" s="363" t="s">
        <v>697</v>
      </c>
      <c r="C49" s="1217"/>
      <c r="D49" s="1219">
        <v>231813.42</v>
      </c>
      <c r="E49" s="1217"/>
      <c r="F49" s="1217"/>
      <c r="G49" s="1218"/>
      <c r="H49" s="1217"/>
      <c r="I49" s="1217"/>
      <c r="J49" s="1217"/>
    </row>
    <row r="50" spans="1:10" ht="15">
      <c r="A50" s="242"/>
      <c r="B50" s="363" t="s">
        <v>2171</v>
      </c>
      <c r="C50" s="1217"/>
      <c r="D50" s="1219">
        <v>214630.2</v>
      </c>
      <c r="E50" s="1217"/>
      <c r="F50" s="1217"/>
      <c r="G50" s="1218"/>
      <c r="H50" s="1217"/>
      <c r="I50" s="1217"/>
      <c r="J50" s="1217"/>
    </row>
    <row r="51" spans="1:10" ht="15">
      <c r="A51" s="242"/>
      <c r="B51" s="363" t="s">
        <v>1333</v>
      </c>
      <c r="C51" s="1217"/>
      <c r="D51" s="1219">
        <v>23308.48</v>
      </c>
      <c r="E51" s="1217"/>
      <c r="F51" s="1217"/>
      <c r="G51" s="1218"/>
      <c r="H51" s="1217"/>
      <c r="I51" s="1217"/>
      <c r="J51" s="1217"/>
    </row>
    <row r="52" spans="1:10" ht="15">
      <c r="A52" s="242"/>
      <c r="B52" s="363" t="s">
        <v>1326</v>
      </c>
      <c r="C52" s="1217"/>
      <c r="D52" s="1219">
        <v>-365271.86</v>
      </c>
      <c r="E52" s="1217"/>
      <c r="F52" s="1217"/>
      <c r="G52" s="1221"/>
      <c r="H52" s="1217"/>
      <c r="I52" s="1217"/>
      <c r="J52" s="1217"/>
    </row>
    <row r="53" spans="1:10" ht="15">
      <c r="A53" s="242"/>
      <c r="B53" s="363" t="str">
        <f>IF(G53&gt;0,"Net assets","Net liabilities")</f>
        <v>Net liabilities</v>
      </c>
      <c r="C53" s="1217"/>
      <c r="D53" s="1219"/>
      <c r="E53" s="1217"/>
      <c r="F53" s="1217"/>
      <c r="G53" s="1221"/>
      <c r="H53" s="1217"/>
      <c r="I53" s="1217"/>
      <c r="J53" s="1217"/>
    </row>
    <row r="54" spans="1:10" ht="15">
      <c r="A54" s="242"/>
      <c r="B54" s="363" t="s">
        <v>2773</v>
      </c>
      <c r="C54" s="1217"/>
      <c r="D54" s="1219"/>
      <c r="E54" s="1217"/>
      <c r="F54" s="1217"/>
      <c r="G54" s="1221"/>
      <c r="H54" s="1217"/>
      <c r="I54" s="1217"/>
      <c r="J54" s="1217"/>
    </row>
    <row r="55" spans="1:10" ht="15.75" thickBot="1">
      <c r="A55" s="242"/>
      <c r="B55" s="363" t="str">
        <f>IF(G55&gt;0,"Net assets","Net liabilities")</f>
        <v>Net liabilities</v>
      </c>
      <c r="C55" s="1217"/>
      <c r="D55" s="1222">
        <f>SUM(D48:D54)</f>
        <v>389278.24000000011</v>
      </c>
      <c r="E55" s="1217"/>
      <c r="F55" s="1217"/>
      <c r="G55" s="1221"/>
      <c r="H55" s="1217"/>
      <c r="I55" s="1217"/>
      <c r="J55" s="1217"/>
    </row>
    <row r="56" spans="1:10" ht="36.75" hidden="1" customHeight="1" thickTop="1">
      <c r="A56" s="242"/>
      <c r="B56" s="1217"/>
      <c r="C56" s="1217"/>
      <c r="D56" s="1217"/>
      <c r="E56" s="1217"/>
      <c r="F56" s="1217"/>
      <c r="G56" s="1218" t="s">
        <v>36</v>
      </c>
      <c r="H56" s="1217"/>
      <c r="I56" s="1217"/>
      <c r="J56" s="1217"/>
    </row>
    <row r="57" spans="1:10" ht="36.75" hidden="1" customHeight="1">
      <c r="A57" s="242"/>
      <c r="B57" s="1193"/>
      <c r="C57" s="1193"/>
      <c r="D57" s="1193"/>
      <c r="E57" s="1193"/>
      <c r="F57" s="1193"/>
      <c r="G57" s="1193"/>
      <c r="H57" s="1198"/>
      <c r="I57" s="1193"/>
      <c r="J57" s="1193"/>
    </row>
    <row r="58" spans="1:10" ht="13.5" thickTop="1">
      <c r="A58" s="242"/>
      <c r="B58" s="1193"/>
      <c r="C58" s="1193"/>
      <c r="D58" s="1193"/>
      <c r="E58" s="1193"/>
      <c r="F58" s="1193"/>
      <c r="G58" s="1193"/>
      <c r="H58" s="1193"/>
      <c r="I58" s="1193"/>
      <c r="J58" s="1193"/>
    </row>
    <row r="59" spans="1:10" ht="20.25" customHeight="1">
      <c r="A59" s="242"/>
      <c r="B59" s="1703" t="s">
        <v>2033</v>
      </c>
      <c r="C59" s="1703"/>
      <c r="D59" s="1703"/>
      <c r="E59" s="1703"/>
      <c r="F59" s="1703"/>
      <c r="G59" s="1703"/>
      <c r="H59" s="1703"/>
      <c r="I59" s="1703"/>
      <c r="J59" s="1703"/>
    </row>
    <row r="60" spans="1:10">
      <c r="A60" s="242"/>
      <c r="B60" s="1197" t="s">
        <v>1436</v>
      </c>
      <c r="C60" s="1197"/>
      <c r="D60" s="140" t="s">
        <v>2077</v>
      </c>
      <c r="E60" s="1197"/>
      <c r="F60" s="140" t="s">
        <v>1796</v>
      </c>
      <c r="G60" s="1192"/>
      <c r="H60" s="1192"/>
      <c r="I60" s="1192"/>
    </row>
    <row r="61" spans="1:10">
      <c r="A61" s="242"/>
      <c r="B61" s="1197"/>
      <c r="C61" s="1197"/>
      <c r="D61" s="1191" t="s">
        <v>1314</v>
      </c>
      <c r="E61" s="1197"/>
      <c r="F61" s="1191" t="s">
        <v>1314</v>
      </c>
      <c r="G61" s="1191"/>
      <c r="H61" s="1191"/>
      <c r="I61" s="1191"/>
    </row>
    <row r="62" spans="1:10">
      <c r="A62" s="242"/>
      <c r="B62" s="1197" t="s">
        <v>1944</v>
      </c>
      <c r="C62" s="1197"/>
      <c r="D62" s="136">
        <f>SUM(D64:D72)</f>
        <v>1869602.83</v>
      </c>
      <c r="E62" s="1197"/>
      <c r="F62" s="136">
        <f>SUM(F64:F72)</f>
        <v>3031060.5800000005</v>
      </c>
      <c r="G62" s="317"/>
      <c r="H62" s="317"/>
      <c r="I62" s="317"/>
    </row>
    <row r="63" spans="1:10">
      <c r="A63" s="242"/>
      <c r="B63" s="1197"/>
      <c r="C63" s="1197"/>
      <c r="D63" s="317"/>
      <c r="E63" s="1197"/>
      <c r="F63" s="317"/>
      <c r="G63" s="317"/>
      <c r="H63" s="317"/>
      <c r="I63" s="317"/>
    </row>
    <row r="64" spans="1:10">
      <c r="A64" s="242"/>
      <c r="B64" s="1197" t="s">
        <v>1945</v>
      </c>
      <c r="C64" s="1197"/>
      <c r="D64" s="319">
        <f>285923+165000-9272.56</f>
        <v>441650.44</v>
      </c>
      <c r="E64" s="1197"/>
      <c r="F64" s="319">
        <f>25000+17870.61+130000+25000+25000+25000+24561.4+274.06</f>
        <v>272706.07</v>
      </c>
      <c r="G64" s="317"/>
      <c r="H64" s="317"/>
      <c r="I64" s="317"/>
    </row>
    <row r="65" spans="1:10">
      <c r="A65" s="242"/>
      <c r="B65" s="1197" t="s">
        <v>1946</v>
      </c>
      <c r="C65" s="1197"/>
      <c r="D65" s="213">
        <v>184211</v>
      </c>
      <c r="E65" s="1197"/>
      <c r="F65" s="213">
        <f>61403.51+61403.51+61403.51+61403.51+61403.51+61403.51+61403.51+30701.75+30701.75+8660+61403.51-61403.51+73280.91</f>
        <v>573168.98</v>
      </c>
      <c r="G65" s="317"/>
      <c r="H65" s="317"/>
      <c r="I65" s="317"/>
    </row>
    <row r="66" spans="1:10">
      <c r="A66" s="242"/>
      <c r="B66" s="1197" t="s">
        <v>1947</v>
      </c>
      <c r="C66" s="1197"/>
      <c r="D66" s="213">
        <f>77090+180683.99</f>
        <v>257773.99</v>
      </c>
      <c r="E66" s="1197"/>
      <c r="F66" s="213">
        <f>92864.75-92864.75</f>
        <v>0</v>
      </c>
      <c r="G66" s="317"/>
      <c r="H66" s="317"/>
      <c r="I66" s="317"/>
    </row>
    <row r="67" spans="1:10">
      <c r="A67" s="242"/>
      <c r="B67" s="1197" t="s">
        <v>1937</v>
      </c>
      <c r="C67" s="1197"/>
      <c r="D67" s="213">
        <v>22120</v>
      </c>
      <c r="E67" s="1197"/>
      <c r="F67" s="213">
        <f>3703.81+1959+3600+3348+5964.91+2600+2225+3695.44+15256.65+1312.97+11575.5+2205+2407.5+3700.5+2522.5+3631+1250+450+500+2998.7+984.25+3611.98+3586.88-1108.73-1248.87-1149.12-105.26</f>
        <v>79477.610000000015</v>
      </c>
      <c r="G67" s="317"/>
      <c r="H67" s="317"/>
      <c r="I67" s="317"/>
    </row>
    <row r="68" spans="1:10">
      <c r="A68" s="242"/>
      <c r="B68" s="1197" t="s">
        <v>1948</v>
      </c>
      <c r="C68" s="1197"/>
      <c r="D68" s="213">
        <v>605283</v>
      </c>
      <c r="E68" s="1197"/>
      <c r="F68" s="213">
        <f>1200000+250000+100000</f>
        <v>1550000</v>
      </c>
      <c r="G68" s="317"/>
      <c r="H68" s="317"/>
      <c r="I68" s="317"/>
    </row>
    <row r="69" spans="1:10">
      <c r="A69" s="242"/>
      <c r="B69" s="1197" t="s">
        <v>1949</v>
      </c>
      <c r="C69" s="1197"/>
      <c r="D69" s="213">
        <f>305078+5429.26+2298.69+6617.45+100+2654</f>
        <v>322177.40000000002</v>
      </c>
      <c r="E69" s="1197"/>
      <c r="F69" s="213">
        <f>39696.1+49573.26+40818.57+40194.5+21245.6+7200+6600+24251.66+21666.57+6516.17+4505.77+9600+45285.86+36681.75+10800+20394.07+23380.21+25660.05+2468+100+20506.59+6318.62+44034.52</f>
        <v>507497.87000000005</v>
      </c>
      <c r="G69" s="317"/>
      <c r="H69" s="317"/>
      <c r="I69" s="317"/>
    </row>
    <row r="70" spans="1:10">
      <c r="A70" s="242"/>
      <c r="B70" s="1197" t="s">
        <v>1950</v>
      </c>
      <c r="C70" s="1197"/>
      <c r="D70" s="213">
        <v>36387</v>
      </c>
      <c r="E70" s="1197"/>
      <c r="F70" s="213">
        <f>5644.32+7452.85+6261.9+5352.55+1539.56</f>
        <v>26251.18</v>
      </c>
      <c r="G70" s="317"/>
      <c r="H70" s="317"/>
      <c r="I70" s="317"/>
    </row>
    <row r="71" spans="1:10">
      <c r="A71" s="242"/>
      <c r="B71" s="1197" t="s">
        <v>1951</v>
      </c>
      <c r="C71" s="1197"/>
      <c r="D71" s="213">
        <v>0</v>
      </c>
      <c r="E71" s="1197"/>
      <c r="F71" s="213">
        <f>17543.86+1635.01</f>
        <v>19178.87</v>
      </c>
      <c r="G71" s="317"/>
      <c r="H71" s="317"/>
      <c r="I71" s="317"/>
    </row>
    <row r="72" spans="1:10">
      <c r="A72" s="242"/>
      <c r="B72" s="1197" t="s">
        <v>1952</v>
      </c>
      <c r="C72" s="1197"/>
      <c r="D72" s="338">
        <v>0</v>
      </c>
      <c r="E72" s="1197"/>
      <c r="F72" s="338">
        <v>2780</v>
      </c>
      <c r="G72" s="317"/>
      <c r="H72" s="317"/>
      <c r="I72" s="317"/>
    </row>
    <row r="73" spans="1:10">
      <c r="A73" s="242"/>
      <c r="B73" s="1197"/>
      <c r="C73" s="1197"/>
      <c r="D73" s="317"/>
      <c r="E73" s="1197"/>
      <c r="F73" s="317"/>
      <c r="G73" s="317"/>
      <c r="H73" s="317"/>
      <c r="I73" s="317"/>
    </row>
    <row r="74" spans="1:10">
      <c r="A74" s="242"/>
      <c r="B74" s="1737"/>
      <c r="C74" s="1737"/>
      <c r="D74" s="1737"/>
      <c r="E74" s="1737"/>
      <c r="F74" s="1737"/>
      <c r="G74" s="1737"/>
      <c r="H74" s="1737"/>
      <c r="I74" s="1737"/>
      <c r="J74" s="1737"/>
    </row>
    <row r="75" spans="1:10">
      <c r="A75" s="242"/>
      <c r="B75" s="1197"/>
      <c r="C75" s="1197"/>
      <c r="D75" s="317"/>
      <c r="E75" s="1197"/>
    </row>
    <row r="76" spans="1:10">
      <c r="A76" s="242"/>
      <c r="B76" s="135" t="s">
        <v>1648</v>
      </c>
      <c r="C76" s="1197"/>
      <c r="D76" s="1191" t="s">
        <v>1649</v>
      </c>
      <c r="E76" s="1197"/>
      <c r="F76" s="1191" t="s">
        <v>1649</v>
      </c>
      <c r="G76" s="1191"/>
      <c r="H76" s="1191"/>
      <c r="I76" s="1191"/>
    </row>
    <row r="77" spans="1:10">
      <c r="A77" s="242"/>
      <c r="B77" s="135"/>
      <c r="C77" s="1197"/>
      <c r="D77" s="1191" t="s">
        <v>1314</v>
      </c>
      <c r="E77" s="1197"/>
      <c r="F77" s="1191" t="s">
        <v>1314</v>
      </c>
      <c r="G77" s="1191"/>
      <c r="H77" s="1191"/>
      <c r="I77" s="1191"/>
    </row>
    <row r="78" spans="1:10">
      <c r="A78" s="242"/>
      <c r="B78" s="1197" t="s">
        <v>1437</v>
      </c>
      <c r="C78" s="1197"/>
      <c r="D78" s="317">
        <v>0</v>
      </c>
      <c r="E78" s="1197"/>
      <c r="F78" s="317">
        <v>0</v>
      </c>
      <c r="G78" s="317"/>
      <c r="H78" s="317"/>
      <c r="I78" s="317"/>
    </row>
    <row r="79" spans="1:10">
      <c r="A79" s="242"/>
      <c r="B79" s="1197" t="s">
        <v>1439</v>
      </c>
      <c r="C79" s="1197"/>
      <c r="D79" s="317">
        <v>0</v>
      </c>
      <c r="E79" s="1197"/>
      <c r="F79" s="317">
        <v>0</v>
      </c>
      <c r="G79" s="317"/>
      <c r="H79" s="317"/>
      <c r="I79" s="317"/>
    </row>
    <row r="80" spans="1:10">
      <c r="A80" s="242"/>
      <c r="B80" s="1197" t="s">
        <v>1438</v>
      </c>
      <c r="C80" s="1197"/>
      <c r="D80" s="317">
        <v>0</v>
      </c>
      <c r="E80" s="1197"/>
      <c r="F80" s="317">
        <v>0</v>
      </c>
      <c r="G80" s="317"/>
      <c r="H80" s="317"/>
      <c r="I80" s="317"/>
    </row>
    <row r="81" spans="1:15">
      <c r="A81" s="242"/>
      <c r="B81" s="1197"/>
      <c r="C81" s="1197"/>
      <c r="D81" s="317"/>
      <c r="E81" s="1197"/>
      <c r="F81" s="317"/>
      <c r="G81" s="317"/>
      <c r="H81" s="317"/>
      <c r="I81" s="317"/>
    </row>
    <row r="82" spans="1:15" ht="27.75" customHeight="1">
      <c r="A82" s="242"/>
      <c r="B82" s="1703" t="s">
        <v>1440</v>
      </c>
      <c r="C82" s="1703"/>
      <c r="D82" s="1703"/>
      <c r="E82" s="1703"/>
      <c r="F82" s="1703"/>
      <c r="G82" s="1703"/>
      <c r="H82" s="1703"/>
      <c r="I82" s="1703"/>
      <c r="J82" s="1703"/>
    </row>
    <row r="83" spans="1:15" s="1197" customFormat="1">
      <c r="A83" s="242"/>
      <c r="D83" s="317"/>
      <c r="J83" s="317"/>
      <c r="M83" s="317"/>
      <c r="N83" s="317"/>
      <c r="O83" s="317"/>
    </row>
    <row r="84" spans="1:15">
      <c r="A84" s="242"/>
      <c r="B84" s="135" t="s">
        <v>1441</v>
      </c>
      <c r="C84" s="1197"/>
      <c r="D84" s="140" t="s">
        <v>2077</v>
      </c>
      <c r="E84" s="1197"/>
      <c r="F84" s="140" t="s">
        <v>1796</v>
      </c>
    </row>
    <row r="85" spans="1:15">
      <c r="A85" s="242"/>
      <c r="B85" s="1197"/>
      <c r="C85" s="1197"/>
      <c r="D85" s="317"/>
      <c r="E85" s="1197"/>
    </row>
    <row r="86" spans="1:15">
      <c r="A86" s="242"/>
      <c r="B86" s="1197" t="s">
        <v>1442</v>
      </c>
      <c r="C86" s="1197"/>
      <c r="D86" s="317">
        <v>0</v>
      </c>
      <c r="E86" s="1197"/>
      <c r="F86" s="317">
        <v>410400</v>
      </c>
      <c r="G86" s="317"/>
      <c r="H86" s="317"/>
      <c r="I86" s="317"/>
    </row>
    <row r="87" spans="1:15">
      <c r="A87" s="242"/>
      <c r="B87" s="1197" t="s">
        <v>1650</v>
      </c>
      <c r="C87" s="1197"/>
      <c r="D87" s="317">
        <v>221959</v>
      </c>
      <c r="E87" s="1197"/>
      <c r="F87" s="317">
        <v>282500</v>
      </c>
      <c r="G87" s="317"/>
      <c r="H87" s="317"/>
      <c r="I87" s="317"/>
    </row>
    <row r="88" spans="1:15">
      <c r="A88" s="242"/>
      <c r="B88" s="1197" t="s">
        <v>1651</v>
      </c>
      <c r="C88" s="1197"/>
      <c r="D88" s="317">
        <v>149061</v>
      </c>
      <c r="E88" s="1197"/>
      <c r="F88" s="317">
        <v>134369.01</v>
      </c>
      <c r="G88" s="317"/>
      <c r="H88" s="317"/>
      <c r="I88" s="317"/>
    </row>
    <row r="89" spans="1:15" ht="13.5" thickBot="1">
      <c r="A89" s="242"/>
      <c r="B89" s="1197"/>
      <c r="C89" s="1197"/>
      <c r="D89" s="143">
        <f>SUM(D86:D88)</f>
        <v>371020</v>
      </c>
      <c r="E89" s="1197"/>
      <c r="F89" s="143">
        <f>SUM(F86:F88)</f>
        <v>827269.01</v>
      </c>
      <c r="G89" s="317"/>
      <c r="H89" s="317"/>
      <c r="I89" s="317"/>
    </row>
    <row r="90" spans="1:15" ht="13.5" thickTop="1">
      <c r="A90" s="242"/>
      <c r="B90" s="1197"/>
      <c r="C90" s="1197"/>
      <c r="D90" s="317"/>
      <c r="E90" s="1197"/>
    </row>
    <row r="91" spans="1:15">
      <c r="A91" s="242" t="s">
        <v>36</v>
      </c>
      <c r="B91" s="730" t="s">
        <v>36</v>
      </c>
      <c r="C91" s="1197"/>
      <c r="D91" s="317"/>
      <c r="E91" s="1197"/>
    </row>
    <row r="92" spans="1:15">
      <c r="A92" s="242"/>
      <c r="B92" s="1197"/>
      <c r="C92" s="1197"/>
      <c r="D92" s="317"/>
      <c r="E92" s="1197"/>
    </row>
    <row r="93" spans="1:15">
      <c r="A93" s="242">
        <v>42.2</v>
      </c>
      <c r="B93" s="135" t="s">
        <v>1569</v>
      </c>
      <c r="C93" s="1197"/>
      <c r="D93" s="317"/>
      <c r="E93" s="1197"/>
    </row>
    <row r="94" spans="1:15">
      <c r="A94" s="242"/>
      <c r="B94" s="1197"/>
      <c r="C94" s="1197"/>
      <c r="D94" s="140" t="s">
        <v>2077</v>
      </c>
      <c r="E94" s="1197"/>
      <c r="F94" s="140" t="s">
        <v>1796</v>
      </c>
    </row>
    <row r="95" spans="1:15" ht="106.5" customHeight="1">
      <c r="A95" s="242"/>
      <c r="B95" s="1703" t="s">
        <v>2026</v>
      </c>
      <c r="C95" s="1703"/>
      <c r="D95" s="1703"/>
      <c r="E95" s="1198"/>
      <c r="F95" s="1198"/>
      <c r="G95" s="1198"/>
      <c r="H95" s="1198"/>
      <c r="I95" s="1198"/>
      <c r="J95" s="325"/>
    </row>
    <row r="96" spans="1:15" ht="19.5" customHeight="1">
      <c r="A96" s="242"/>
      <c r="B96" s="1193"/>
      <c r="C96" s="1193"/>
      <c r="D96" s="628"/>
      <c r="E96" s="1198"/>
      <c r="F96" s="628"/>
      <c r="G96" s="1198"/>
      <c r="H96" s="1198"/>
      <c r="I96" s="1198"/>
      <c r="J96" s="325"/>
    </row>
    <row r="97" spans="1:10">
      <c r="A97" s="524" t="s">
        <v>36</v>
      </c>
      <c r="B97" s="730" t="s">
        <v>1661</v>
      </c>
      <c r="C97" s="1197"/>
      <c r="D97" s="209"/>
      <c r="E97" s="1197"/>
      <c r="F97" s="209"/>
      <c r="G97" s="316"/>
      <c r="H97" s="316"/>
      <c r="I97" s="316"/>
      <c r="J97" s="316"/>
    </row>
    <row r="98" spans="1:10">
      <c r="A98" s="524"/>
      <c r="B98" s="1197" t="s">
        <v>714</v>
      </c>
      <c r="C98" s="1197"/>
      <c r="D98" s="209">
        <v>9436387.1099999994</v>
      </c>
      <c r="E98" s="1197"/>
      <c r="F98" s="209">
        <f>7223686.64+24979.4</f>
        <v>7248666.04</v>
      </c>
      <c r="G98" s="316"/>
      <c r="H98" s="316"/>
      <c r="I98" s="316"/>
      <c r="J98" s="316"/>
    </row>
    <row r="99" spans="1:10">
      <c r="A99" s="731"/>
      <c r="B99" s="1197" t="s">
        <v>1662</v>
      </c>
      <c r="C99" s="1197"/>
      <c r="D99" s="209">
        <v>327450.64</v>
      </c>
      <c r="E99" s="1197"/>
      <c r="F99" s="209">
        <f>281401.81+2212.2</f>
        <v>283614.01</v>
      </c>
      <c r="G99" s="316"/>
      <c r="H99" s="316"/>
      <c r="I99" s="316"/>
      <c r="J99" s="316"/>
    </row>
    <row r="100" spans="1:10">
      <c r="A100" s="731"/>
      <c r="B100" s="1197" t="s">
        <v>713</v>
      </c>
      <c r="C100" s="1197"/>
      <c r="D100" s="209">
        <v>2950820.13</v>
      </c>
      <c r="E100" s="1197"/>
      <c r="F100" s="209">
        <f>3341428.65+37125.65</f>
        <v>3378554.3</v>
      </c>
      <c r="G100" s="316"/>
      <c r="H100" s="316"/>
      <c r="I100" s="316"/>
      <c r="J100" s="316"/>
    </row>
    <row r="101" spans="1:10">
      <c r="A101" s="731"/>
      <c r="B101" s="1197" t="s">
        <v>1663</v>
      </c>
      <c r="C101" s="1197"/>
      <c r="D101" s="209">
        <v>623.77</v>
      </c>
      <c r="E101" s="1197"/>
      <c r="F101" s="209">
        <v>1340.47</v>
      </c>
      <c r="G101" s="316"/>
      <c r="H101" s="316"/>
      <c r="I101" s="316"/>
      <c r="J101" s="316"/>
    </row>
    <row r="102" spans="1:10">
      <c r="A102" s="731"/>
      <c r="B102" s="1197" t="s">
        <v>1664</v>
      </c>
      <c r="C102" s="1197"/>
      <c r="D102" s="209">
        <v>6905.48</v>
      </c>
      <c r="E102" s="1197"/>
      <c r="F102" s="209">
        <v>11664.05</v>
      </c>
      <c r="G102" s="316"/>
      <c r="H102" s="316"/>
      <c r="I102" s="316"/>
      <c r="J102" s="316"/>
    </row>
    <row r="103" spans="1:10" ht="13.5" thickBot="1">
      <c r="A103" s="731" t="s">
        <v>36</v>
      </c>
      <c r="B103" s="1198" t="s">
        <v>2016</v>
      </c>
      <c r="C103" s="1197"/>
      <c r="D103" s="143">
        <f>SUM(D97:D102)</f>
        <v>12722187.129999999</v>
      </c>
      <c r="E103" s="1197"/>
      <c r="F103" s="143">
        <f>SUM(F97:F102)</f>
        <v>10923838.870000001</v>
      </c>
      <c r="G103" s="185"/>
      <c r="H103" s="185"/>
      <c r="I103" s="185"/>
      <c r="J103" s="185"/>
    </row>
    <row r="104" spans="1:10" ht="13.5" thickTop="1">
      <c r="A104" s="731"/>
      <c r="B104" s="1197"/>
      <c r="C104" s="1197"/>
      <c r="D104" s="317"/>
      <c r="E104" s="1197"/>
      <c r="F104" s="317"/>
      <c r="G104" s="316"/>
      <c r="H104" s="316"/>
      <c r="I104" s="316"/>
      <c r="J104" s="316"/>
    </row>
    <row r="105" spans="1:10">
      <c r="A105" s="731" t="s">
        <v>36</v>
      </c>
      <c r="B105" s="135" t="s">
        <v>1665</v>
      </c>
      <c r="C105" s="1197"/>
      <c r="D105" s="317" t="s">
        <v>36</v>
      </c>
      <c r="E105" s="1197"/>
      <c r="F105" s="317" t="s">
        <v>36</v>
      </c>
      <c r="G105" s="316"/>
      <c r="H105" s="316"/>
      <c r="I105" s="316"/>
      <c r="J105" s="316"/>
    </row>
    <row r="106" spans="1:10">
      <c r="A106" s="731"/>
      <c r="B106" s="1197" t="s">
        <v>714</v>
      </c>
      <c r="C106" s="1197"/>
      <c r="D106" s="209">
        <v>1701840.49</v>
      </c>
      <c r="E106" s="1197"/>
      <c r="F106" s="209">
        <v>1655953.96</v>
      </c>
      <c r="G106" s="316"/>
      <c r="H106" s="316"/>
      <c r="I106" s="316"/>
      <c r="J106" s="316"/>
    </row>
    <row r="107" spans="1:10">
      <c r="A107" s="731"/>
      <c r="B107" s="1197" t="s">
        <v>713</v>
      </c>
      <c r="C107" s="1197"/>
      <c r="D107" s="209">
        <v>749063.28</v>
      </c>
      <c r="E107" s="1197"/>
      <c r="F107" s="209">
        <v>372727.32</v>
      </c>
      <c r="G107" s="316"/>
      <c r="H107" s="316"/>
      <c r="I107" s="316"/>
      <c r="J107" s="316"/>
    </row>
    <row r="108" spans="1:10" ht="13.5" thickBot="1">
      <c r="A108" s="731" t="s">
        <v>36</v>
      </c>
      <c r="B108" s="1197" t="s">
        <v>2017</v>
      </c>
      <c r="C108" s="1197"/>
      <c r="D108" s="143">
        <f>SUM(D105:D107)</f>
        <v>2450903.77</v>
      </c>
      <c r="E108" s="1197"/>
      <c r="F108" s="143">
        <f>SUM(F105:F107)</f>
        <v>2028681.28</v>
      </c>
      <c r="G108" s="185"/>
      <c r="H108" s="185"/>
      <c r="I108" s="185"/>
      <c r="J108" s="185"/>
    </row>
    <row r="109" spans="1:10" ht="13.5" thickTop="1">
      <c r="A109" s="731"/>
      <c r="B109" s="1197"/>
      <c r="C109" s="1197"/>
      <c r="D109" s="317"/>
      <c r="E109" s="1197"/>
      <c r="F109" s="317"/>
      <c r="G109" s="316"/>
      <c r="H109" s="316"/>
      <c r="I109" s="316"/>
      <c r="J109" s="316"/>
    </row>
    <row r="110" spans="1:10" ht="25.5">
      <c r="A110" s="731" t="s">
        <v>36</v>
      </c>
      <c r="B110" s="142" t="s">
        <v>2018</v>
      </c>
      <c r="C110" s="1197"/>
      <c r="D110" s="317"/>
      <c r="E110" s="1197"/>
      <c r="F110" s="317"/>
      <c r="G110" s="316"/>
      <c r="H110" s="316"/>
      <c r="I110" s="316"/>
      <c r="J110" s="316"/>
    </row>
    <row r="111" spans="1:10">
      <c r="A111" s="731"/>
      <c r="B111" s="1197" t="s">
        <v>1371</v>
      </c>
      <c r="C111" s="1197"/>
      <c r="D111" s="209">
        <v>17914064.93</v>
      </c>
      <c r="E111" s="1197"/>
      <c r="F111" s="209">
        <v>13126512.01</v>
      </c>
      <c r="G111" s="316"/>
      <c r="H111" s="316"/>
      <c r="I111" s="316"/>
      <c r="J111" s="316"/>
    </row>
    <row r="112" spans="1:10">
      <c r="A112" s="731"/>
      <c r="B112" s="1197" t="s">
        <v>1662</v>
      </c>
      <c r="C112" s="1197"/>
      <c r="D112" s="209">
        <v>0</v>
      </c>
      <c r="E112" s="1197"/>
      <c r="F112" s="209">
        <v>232142.13</v>
      </c>
      <c r="G112" s="316"/>
      <c r="H112" s="316"/>
      <c r="I112" s="316"/>
      <c r="J112" s="316"/>
    </row>
    <row r="113" spans="1:12">
      <c r="A113" s="731"/>
      <c r="B113" s="1197" t="s">
        <v>713</v>
      </c>
      <c r="C113" s="1197"/>
      <c r="D113" s="209">
        <v>4513439.97</v>
      </c>
      <c r="E113" s="1197"/>
      <c r="F113" s="209">
        <v>3947113.58</v>
      </c>
      <c r="G113" s="316"/>
      <c r="H113" s="316"/>
      <c r="I113" s="316"/>
      <c r="J113" s="316"/>
    </row>
    <row r="114" spans="1:12" ht="13.5" thickBot="1">
      <c r="A114" s="731" t="s">
        <v>36</v>
      </c>
      <c r="B114" s="1197" t="s">
        <v>1666</v>
      </c>
      <c r="C114" s="1197"/>
      <c r="D114" s="143">
        <f>SUM(D111:D113)</f>
        <v>22427504.899999999</v>
      </c>
      <c r="E114" s="1197"/>
      <c r="F114" s="143">
        <f>SUM(F111:F113)</f>
        <v>17305767.719999999</v>
      </c>
      <c r="G114" s="185"/>
      <c r="H114" s="185"/>
      <c r="I114" s="185"/>
      <c r="J114" s="185"/>
    </row>
    <row r="115" spans="1:12" ht="13.5" thickTop="1">
      <c r="A115" s="731"/>
      <c r="B115" s="1197"/>
      <c r="C115" s="1197"/>
      <c r="D115" s="317"/>
      <c r="E115" s="1197"/>
      <c r="F115" s="317"/>
      <c r="G115" s="316"/>
      <c r="H115" s="316"/>
      <c r="I115" s="316"/>
      <c r="J115" s="316"/>
    </row>
    <row r="116" spans="1:12">
      <c r="A116" s="731" t="s">
        <v>36</v>
      </c>
      <c r="B116" s="1197" t="s">
        <v>1667</v>
      </c>
      <c r="C116" s="1197"/>
      <c r="D116" s="317"/>
      <c r="E116" s="1197"/>
      <c r="F116" s="317"/>
      <c r="G116" s="316"/>
      <c r="H116" s="316"/>
      <c r="I116" s="316"/>
      <c r="J116" s="316"/>
    </row>
    <row r="117" spans="1:12">
      <c r="A117" s="731"/>
      <c r="B117" s="1197" t="s">
        <v>1670</v>
      </c>
      <c r="C117" s="1197"/>
      <c r="D117" s="209">
        <f>1881289.87+10911477.08+887498.19</f>
        <v>13680265.139999999</v>
      </c>
      <c r="E117" s="1197"/>
      <c r="F117" s="209">
        <f>9171222.83+1693289.24</f>
        <v>10864512.07</v>
      </c>
      <c r="G117" s="316"/>
      <c r="H117" s="316"/>
      <c r="I117" s="316"/>
      <c r="J117" s="316"/>
    </row>
    <row r="118" spans="1:12">
      <c r="A118" s="731"/>
      <c r="B118" s="1197" t="s">
        <v>1668</v>
      </c>
      <c r="C118" s="1197"/>
      <c r="D118" s="209">
        <v>20883.099999999999</v>
      </c>
      <c r="E118" s="1197"/>
      <c r="F118" s="209">
        <v>138449.78</v>
      </c>
      <c r="G118" s="316"/>
      <c r="H118" s="316"/>
      <c r="I118" s="316"/>
      <c r="J118" s="316"/>
    </row>
    <row r="119" spans="1:12">
      <c r="A119" s="731"/>
      <c r="B119" s="1197" t="s">
        <v>1669</v>
      </c>
      <c r="C119" s="1197"/>
      <c r="D119" s="209">
        <v>825801.37</v>
      </c>
      <c r="E119" s="1197"/>
      <c r="F119" s="209">
        <v>745947.4</v>
      </c>
      <c r="G119" s="316"/>
      <c r="H119" s="316"/>
      <c r="I119" s="316"/>
      <c r="J119" s="316"/>
      <c r="L119" s="732"/>
    </row>
    <row r="120" spans="1:12" ht="13.5" thickBot="1">
      <c r="A120" s="731"/>
      <c r="B120" s="1197"/>
      <c r="C120" s="1197"/>
      <c r="D120" s="143">
        <f>SUM(D116:D119)</f>
        <v>14526949.609999998</v>
      </c>
      <c r="E120" s="1197"/>
      <c r="F120" s="143">
        <f>SUM(F116:F119)</f>
        <v>11748909.25</v>
      </c>
      <c r="G120" s="733"/>
      <c r="H120" s="733"/>
      <c r="I120" s="733"/>
      <c r="J120" s="733"/>
    </row>
    <row r="121" spans="1:12" ht="13.5" thickTop="1">
      <c r="A121" s="731"/>
      <c r="B121" s="1197"/>
      <c r="C121" s="1197"/>
      <c r="D121" s="317"/>
      <c r="E121" s="1197"/>
      <c r="F121" s="317"/>
      <c r="J121" s="1197"/>
    </row>
    <row r="122" spans="1:12">
      <c r="A122" s="731"/>
      <c r="B122" s="1198" t="s">
        <v>2497</v>
      </c>
      <c r="C122" s="1197"/>
      <c r="D122" s="317">
        <v>68079.14</v>
      </c>
      <c r="E122" s="317"/>
      <c r="F122" s="317">
        <v>276570.46000000002</v>
      </c>
      <c r="G122" s="317"/>
      <c r="H122" s="317"/>
      <c r="I122" s="317"/>
      <c r="J122" s="136"/>
    </row>
    <row r="123" spans="1:12">
      <c r="A123" s="731"/>
      <c r="B123" s="1197"/>
      <c r="C123" s="1197"/>
      <c r="D123" s="317"/>
      <c r="E123" s="317"/>
      <c r="F123" s="317"/>
      <c r="G123" s="317"/>
      <c r="H123" s="317"/>
      <c r="I123" s="317"/>
    </row>
    <row r="124" spans="1:12" ht="38.25">
      <c r="A124" s="731"/>
      <c r="B124" s="1198" t="s">
        <v>1701</v>
      </c>
      <c r="C124" s="1197"/>
      <c r="D124" s="317">
        <v>0</v>
      </c>
      <c r="E124" s="317"/>
      <c r="F124" s="317">
        <f>'Note 16-17'!I16</f>
        <v>0</v>
      </c>
      <c r="G124" s="317"/>
      <c r="H124" s="317"/>
      <c r="I124" s="317"/>
    </row>
    <row r="125" spans="1:12">
      <c r="A125" s="731"/>
      <c r="B125" s="1197"/>
      <c r="C125" s="1197"/>
      <c r="D125" s="317"/>
      <c r="E125" s="317"/>
      <c r="F125" s="317"/>
      <c r="G125" s="317"/>
      <c r="H125" s="317"/>
      <c r="I125" s="317"/>
    </row>
    <row r="126" spans="1:12">
      <c r="A126" s="731"/>
      <c r="B126" s="1197" t="s">
        <v>2019</v>
      </c>
      <c r="C126" s="1197"/>
      <c r="D126" s="317">
        <v>624626</v>
      </c>
      <c r="E126" s="317"/>
      <c r="F126" s="317">
        <v>152625</v>
      </c>
      <c r="G126" s="317"/>
      <c r="H126" s="317"/>
      <c r="I126" s="317"/>
    </row>
    <row r="127" spans="1:12">
      <c r="A127" s="731"/>
      <c r="B127" s="1197"/>
      <c r="C127" s="1197"/>
      <c r="D127" s="317"/>
      <c r="E127" s="317"/>
      <c r="F127" s="317"/>
      <c r="G127" s="317"/>
      <c r="H127" s="317"/>
      <c r="I127" s="317"/>
    </row>
    <row r="128" spans="1:12" ht="25.5">
      <c r="A128" s="731"/>
      <c r="B128" s="1198" t="s">
        <v>2498</v>
      </c>
      <c r="C128" s="1197"/>
      <c r="D128" s="317">
        <f>1583248.31+327834.41</f>
        <v>1911082.72</v>
      </c>
      <c r="E128" s="317"/>
      <c r="F128" s="317">
        <v>1624846</v>
      </c>
      <c r="G128" s="317"/>
      <c r="H128" s="317"/>
      <c r="I128" s="317"/>
      <c r="J128" s="136"/>
    </row>
    <row r="129" spans="1:10">
      <c r="A129" s="731"/>
      <c r="B129" s="1197"/>
      <c r="C129" s="1197"/>
      <c r="D129" s="317"/>
      <c r="E129" s="317"/>
      <c r="F129" s="317"/>
      <c r="G129" s="317"/>
      <c r="H129" s="317"/>
      <c r="I129" s="317"/>
    </row>
    <row r="130" spans="1:10">
      <c r="A130" s="731"/>
      <c r="B130" s="1197" t="s">
        <v>1700</v>
      </c>
      <c r="C130" s="1197"/>
      <c r="D130" s="317">
        <v>0</v>
      </c>
      <c r="E130" s="317"/>
      <c r="F130" s="317">
        <v>533099.97</v>
      </c>
      <c r="G130" s="317"/>
      <c r="H130" s="317"/>
      <c r="I130" s="317"/>
      <c r="J130" s="136"/>
    </row>
    <row r="131" spans="1:10">
      <c r="A131" s="731"/>
      <c r="B131" s="1197"/>
      <c r="C131" s="1197"/>
      <c r="D131" s="317"/>
      <c r="E131" s="317"/>
      <c r="F131" s="317"/>
      <c r="G131" s="317"/>
      <c r="H131" s="317"/>
      <c r="I131" s="317"/>
      <c r="J131" s="136"/>
    </row>
    <row r="132" spans="1:10">
      <c r="A132" s="731"/>
      <c r="B132" s="1198" t="s">
        <v>2499</v>
      </c>
      <c r="C132" s="1197"/>
      <c r="D132" s="317">
        <v>4246831.66</v>
      </c>
      <c r="E132" s="317"/>
      <c r="F132" s="317">
        <v>4563897.12</v>
      </c>
      <c r="G132" s="317"/>
      <c r="H132" s="317"/>
      <c r="I132" s="317"/>
      <c r="J132" s="136"/>
    </row>
    <row r="133" spans="1:10">
      <c r="A133" s="731"/>
      <c r="B133" s="1197"/>
      <c r="C133" s="1197"/>
      <c r="D133" s="317"/>
      <c r="E133" s="317"/>
      <c r="F133" s="317"/>
      <c r="G133" s="317"/>
      <c r="H133" s="317"/>
      <c r="I133" s="317"/>
      <c r="J133" s="136"/>
    </row>
    <row r="134" spans="1:10">
      <c r="A134" s="731"/>
      <c r="B134" s="1197" t="s">
        <v>1702</v>
      </c>
      <c r="C134" s="1197"/>
      <c r="D134" s="317">
        <v>782385.15</v>
      </c>
      <c r="E134" s="317"/>
      <c r="F134" s="317">
        <v>884966.77</v>
      </c>
      <c r="G134" s="317"/>
      <c r="H134" s="317"/>
      <c r="I134" s="317"/>
      <c r="J134" s="136"/>
    </row>
    <row r="135" spans="1:10">
      <c r="A135" s="731"/>
      <c r="B135" s="1197"/>
      <c r="C135" s="1197"/>
      <c r="D135" s="317"/>
      <c r="E135" s="317"/>
      <c r="F135" s="317"/>
      <c r="G135" s="317"/>
      <c r="H135" s="317"/>
      <c r="I135" s="317"/>
      <c r="J135" s="136"/>
    </row>
    <row r="136" spans="1:10" ht="38.25">
      <c r="A136" s="731"/>
      <c r="B136" s="1198" t="s">
        <v>1714</v>
      </c>
      <c r="C136" s="1197"/>
      <c r="D136" s="317">
        <v>0</v>
      </c>
      <c r="E136" s="317"/>
      <c r="F136" s="317">
        <v>0</v>
      </c>
      <c r="G136" s="317"/>
      <c r="H136" s="317"/>
      <c r="I136" s="317"/>
      <c r="J136" s="136"/>
    </row>
    <row r="137" spans="1:10">
      <c r="A137" s="731"/>
      <c r="B137" s="1197"/>
      <c r="C137" s="1197"/>
      <c r="D137" s="317"/>
      <c r="E137" s="317"/>
      <c r="F137" s="317"/>
      <c r="G137" s="317"/>
      <c r="H137" s="317"/>
      <c r="I137" s="317"/>
      <c r="J137" s="136"/>
    </row>
    <row r="138" spans="1:10">
      <c r="A138" s="731"/>
      <c r="B138" s="1197" t="s">
        <v>1720</v>
      </c>
      <c r="C138" s="1197"/>
      <c r="D138" s="317">
        <v>82575</v>
      </c>
      <c r="E138" s="317"/>
      <c r="F138" s="317">
        <v>507428.26</v>
      </c>
      <c r="G138" s="317"/>
      <c r="H138" s="317"/>
      <c r="I138" s="317"/>
      <c r="J138" s="136"/>
    </row>
    <row r="139" spans="1:10">
      <c r="A139" s="731"/>
      <c r="B139" s="1197"/>
      <c r="C139" s="1197"/>
      <c r="D139" s="317"/>
      <c r="E139" s="317"/>
      <c r="F139" s="317"/>
      <c r="G139" s="317"/>
      <c r="H139" s="317"/>
      <c r="I139" s="317"/>
      <c r="J139" s="136"/>
    </row>
    <row r="140" spans="1:10">
      <c r="A140" s="242">
        <v>43</v>
      </c>
      <c r="B140" s="135" t="s">
        <v>1565</v>
      </c>
      <c r="C140" s="1197"/>
      <c r="D140" s="140" t="s">
        <v>2077</v>
      </c>
      <c r="E140" s="1197"/>
      <c r="F140" s="140" t="s">
        <v>1796</v>
      </c>
      <c r="G140" s="1192"/>
      <c r="H140" s="1192"/>
      <c r="I140" s="1192"/>
    </row>
    <row r="141" spans="1:10">
      <c r="A141" s="242"/>
      <c r="B141" s="1197"/>
      <c r="C141" s="1197"/>
      <c r="D141" s="1191" t="s">
        <v>1314</v>
      </c>
      <c r="E141" s="317"/>
      <c r="F141" s="1191" t="s">
        <v>1314</v>
      </c>
      <c r="G141" s="1191"/>
      <c r="H141" s="1191"/>
      <c r="I141" s="1191"/>
    </row>
    <row r="142" spans="1:10">
      <c r="A142" s="242"/>
      <c r="B142" s="1197"/>
      <c r="C142" s="1197"/>
      <c r="D142" s="1191"/>
      <c r="E142" s="317"/>
      <c r="F142" s="1191"/>
      <c r="G142" s="1191"/>
      <c r="H142" s="1191"/>
      <c r="I142" s="1191"/>
    </row>
    <row r="143" spans="1:10">
      <c r="A143" s="242"/>
      <c r="B143" s="1516" t="s">
        <v>2829</v>
      </c>
      <c r="C143" s="1197"/>
      <c r="D143" s="319">
        <v>538951.14</v>
      </c>
      <c r="E143" s="317"/>
      <c r="F143" s="319">
        <v>0</v>
      </c>
      <c r="G143" s="317"/>
      <c r="H143" s="317"/>
      <c r="I143" s="317"/>
    </row>
    <row r="144" spans="1:10">
      <c r="A144" s="242"/>
      <c r="B144" s="1197" t="s">
        <v>1716</v>
      </c>
      <c r="C144" s="1197"/>
      <c r="D144" s="213">
        <v>81517.81</v>
      </c>
      <c r="E144" s="317"/>
      <c r="F144" s="213">
        <v>73145.98</v>
      </c>
      <c r="G144" s="317"/>
      <c r="H144" s="317"/>
      <c r="I144" s="317"/>
    </row>
    <row r="145" spans="1:9">
      <c r="A145" s="242"/>
      <c r="B145" s="1197"/>
      <c r="C145" s="1197"/>
      <c r="D145" s="338"/>
      <c r="E145" s="317"/>
      <c r="F145" s="338"/>
      <c r="G145" s="317"/>
      <c r="H145" s="317"/>
      <c r="I145" s="317"/>
    </row>
    <row r="146" spans="1:9">
      <c r="A146" s="242"/>
      <c r="B146" s="1197"/>
      <c r="C146" s="1197"/>
      <c r="D146" s="317"/>
      <c r="E146" s="317"/>
      <c r="F146" s="317"/>
      <c r="G146" s="317"/>
      <c r="H146" s="317"/>
      <c r="I146" s="317"/>
    </row>
    <row r="147" spans="1:9" ht="13.5" thickBot="1">
      <c r="A147" s="242"/>
      <c r="B147" s="135" t="s">
        <v>2113</v>
      </c>
      <c r="C147" s="135"/>
      <c r="D147" s="143">
        <f>SUM(D143:D144)</f>
        <v>620468.94999999995</v>
      </c>
      <c r="E147" s="136"/>
      <c r="F147" s="143">
        <f>SUM(F143:F144)</f>
        <v>73145.98</v>
      </c>
      <c r="G147" s="317"/>
      <c r="H147" s="317"/>
      <c r="I147" s="317"/>
    </row>
    <row r="148" spans="1:9" ht="13.5" thickTop="1">
      <c r="A148" s="242"/>
      <c r="B148" s="1197"/>
      <c r="C148" s="1197"/>
      <c r="D148" s="317"/>
      <c r="E148" s="317"/>
      <c r="F148" s="317"/>
      <c r="G148" s="317"/>
      <c r="H148" s="317"/>
      <c r="I148" s="317"/>
    </row>
    <row r="149" spans="1:9">
      <c r="A149" s="242">
        <v>44</v>
      </c>
      <c r="B149" s="135" t="s">
        <v>1570</v>
      </c>
      <c r="C149" s="1197"/>
      <c r="D149" s="140" t="s">
        <v>2077</v>
      </c>
      <c r="E149" s="1197"/>
      <c r="F149" s="140" t="s">
        <v>1796</v>
      </c>
      <c r="G149" s="317"/>
      <c r="H149" s="317"/>
      <c r="I149" s="317"/>
    </row>
    <row r="150" spans="1:9">
      <c r="A150" s="242"/>
      <c r="B150" s="1197"/>
      <c r="C150" s="1197"/>
      <c r="D150" s="317"/>
      <c r="E150" s="317"/>
      <c r="F150" s="317"/>
      <c r="G150" s="317"/>
      <c r="H150" s="317"/>
      <c r="I150" s="317"/>
    </row>
    <row r="151" spans="1:9">
      <c r="A151" s="242"/>
      <c r="B151" s="1197" t="s">
        <v>2114</v>
      </c>
      <c r="C151" s="1197"/>
      <c r="D151" s="317"/>
      <c r="E151" s="317"/>
      <c r="F151" s="317"/>
      <c r="G151" s="317"/>
      <c r="H151" s="317"/>
      <c r="I151" s="317"/>
    </row>
    <row r="152" spans="1:9">
      <c r="A152" s="242"/>
      <c r="B152" s="1197"/>
      <c r="C152" s="1197"/>
      <c r="D152" s="317"/>
      <c r="E152" s="317"/>
      <c r="F152" s="317"/>
      <c r="G152" s="317"/>
      <c r="H152" s="317"/>
      <c r="I152" s="317"/>
    </row>
    <row r="153" spans="1:9">
      <c r="A153" s="242"/>
      <c r="B153" s="1197" t="s">
        <v>1571</v>
      </c>
      <c r="C153" s="1197"/>
      <c r="D153" s="319">
        <v>5760</v>
      </c>
      <c r="E153" s="317"/>
      <c r="F153" s="319">
        <v>5830</v>
      </c>
      <c r="G153" s="317"/>
      <c r="H153" s="317"/>
      <c r="I153" s="317"/>
    </row>
    <row r="154" spans="1:9">
      <c r="A154" s="242"/>
      <c r="B154" s="1197" t="s">
        <v>1572</v>
      </c>
      <c r="C154" s="1197"/>
      <c r="D154" s="213">
        <v>0</v>
      </c>
      <c r="E154" s="317"/>
      <c r="F154" s="213">
        <v>0</v>
      </c>
      <c r="G154" s="317"/>
      <c r="H154" s="317"/>
      <c r="I154" s="317"/>
    </row>
    <row r="155" spans="1:9">
      <c r="A155" s="242"/>
      <c r="B155" s="1197" t="s">
        <v>2454</v>
      </c>
      <c r="C155" s="1197"/>
      <c r="D155" s="213">
        <v>1010</v>
      </c>
      <c r="E155" s="317"/>
      <c r="F155" s="213">
        <v>0</v>
      </c>
      <c r="G155" s="317"/>
      <c r="H155" s="317"/>
      <c r="I155" s="317"/>
    </row>
    <row r="156" spans="1:9">
      <c r="A156" s="242"/>
      <c r="B156" s="1197" t="s">
        <v>1573</v>
      </c>
      <c r="C156" s="1197"/>
      <c r="D156" s="213">
        <v>3570</v>
      </c>
      <c r="E156" s="317"/>
      <c r="F156" s="213">
        <v>180</v>
      </c>
      <c r="G156" s="317"/>
      <c r="H156" s="317"/>
      <c r="I156" s="317"/>
    </row>
    <row r="157" spans="1:9">
      <c r="A157" s="242"/>
      <c r="B157" s="1197" t="s">
        <v>1574</v>
      </c>
      <c r="C157" s="1197"/>
      <c r="D157" s="213">
        <v>0</v>
      </c>
      <c r="E157" s="317"/>
      <c r="F157" s="213">
        <v>15100</v>
      </c>
      <c r="G157" s="317"/>
      <c r="H157" s="317"/>
      <c r="I157" s="317"/>
    </row>
    <row r="158" spans="1:9">
      <c r="A158" s="242"/>
      <c r="B158" s="1197" t="s">
        <v>1575</v>
      </c>
      <c r="C158" s="1197"/>
      <c r="D158" s="338">
        <v>3420</v>
      </c>
      <c r="E158" s="317"/>
      <c r="F158" s="338">
        <v>1530</v>
      </c>
      <c r="G158" s="317"/>
      <c r="H158" s="317"/>
      <c r="I158" s="317"/>
    </row>
    <row r="159" spans="1:9">
      <c r="A159" s="242"/>
      <c r="B159" s="1197"/>
      <c r="C159" s="1197"/>
      <c r="D159" s="317"/>
      <c r="E159" s="317"/>
      <c r="F159" s="317"/>
      <c r="G159" s="317"/>
      <c r="H159" s="317"/>
      <c r="I159" s="317"/>
    </row>
    <row r="160" spans="1:9" ht="13.5" thickBot="1">
      <c r="A160" s="242"/>
      <c r="B160" s="135" t="s">
        <v>2115</v>
      </c>
      <c r="C160" s="135"/>
      <c r="D160" s="143">
        <f>SUM(D153:D158)</f>
        <v>13760</v>
      </c>
      <c r="E160" s="136"/>
      <c r="F160" s="143">
        <f>SUM(F153:F158)</f>
        <v>22640</v>
      </c>
      <c r="G160" s="317"/>
      <c r="H160" s="317"/>
      <c r="I160" s="317"/>
    </row>
    <row r="161" spans="1:9" ht="13.5" thickTop="1">
      <c r="A161" s="242"/>
      <c r="B161" s="1197"/>
      <c r="C161" s="1197"/>
      <c r="D161" s="317"/>
      <c r="E161" s="1197"/>
    </row>
    <row r="162" spans="1:9">
      <c r="A162" s="242"/>
      <c r="B162" s="1197"/>
      <c r="C162" s="1197"/>
      <c r="D162" s="317"/>
      <c r="E162" s="1197"/>
    </row>
    <row r="163" spans="1:9" ht="25.5">
      <c r="A163" s="242">
        <v>45</v>
      </c>
      <c r="B163" s="762" t="s">
        <v>2151</v>
      </c>
      <c r="C163" s="1197"/>
      <c r="D163" s="317"/>
      <c r="E163" s="1197"/>
    </row>
    <row r="164" spans="1:9">
      <c r="A164" s="242"/>
      <c r="B164" s="1197"/>
      <c r="C164" s="1197"/>
      <c r="D164" s="317"/>
      <c r="E164" s="1197"/>
    </row>
    <row r="165" spans="1:9">
      <c r="A165" s="242">
        <v>45.1</v>
      </c>
      <c r="B165" s="135" t="s">
        <v>1732</v>
      </c>
      <c r="C165" s="1197"/>
      <c r="D165" s="317"/>
      <c r="E165" s="1197"/>
    </row>
    <row r="166" spans="1:9">
      <c r="A166" s="242"/>
      <c r="B166" s="730"/>
      <c r="C166" s="1197"/>
      <c r="D166" s="140" t="s">
        <v>2077</v>
      </c>
      <c r="E166" s="1197"/>
      <c r="F166" s="140" t="s">
        <v>1796</v>
      </c>
      <c r="G166" s="1192"/>
      <c r="H166" s="1192"/>
      <c r="I166" s="1192"/>
    </row>
    <row r="167" spans="1:9">
      <c r="A167" s="242"/>
      <c r="B167" s="730"/>
      <c r="C167" s="1197"/>
      <c r="D167" s="1192"/>
      <c r="E167" s="1197"/>
      <c r="F167" s="1192"/>
      <c r="G167" s="1192"/>
      <c r="H167" s="1192"/>
      <c r="I167" s="1192"/>
    </row>
    <row r="168" spans="1:9">
      <c r="A168" s="242"/>
      <c r="B168" s="1200" t="s">
        <v>351</v>
      </c>
      <c r="C168" s="1197"/>
      <c r="D168" s="1192">
        <f>F174</f>
        <v>9004553</v>
      </c>
      <c r="E168" s="1197"/>
      <c r="F168" s="1192">
        <v>4955625</v>
      </c>
      <c r="G168" s="1192"/>
      <c r="H168" s="1192"/>
      <c r="I168" s="1192"/>
    </row>
    <row r="169" spans="1:9">
      <c r="A169" s="242"/>
      <c r="B169" s="1200"/>
      <c r="C169" s="1197"/>
      <c r="D169" s="1192"/>
      <c r="E169" s="1197"/>
      <c r="F169" s="1192"/>
      <c r="G169" s="1192"/>
      <c r="H169" s="1192"/>
      <c r="I169" s="1192"/>
    </row>
    <row r="170" spans="1:9">
      <c r="A170" s="242"/>
      <c r="B170" s="211" t="s">
        <v>2070</v>
      </c>
      <c r="C170" s="1197"/>
      <c r="D170" s="319">
        <f>-3448928-4955625</f>
        <v>-8404553</v>
      </c>
      <c r="E170" s="1197"/>
      <c r="F170" s="319">
        <v>3448928</v>
      </c>
      <c r="G170" s="317"/>
      <c r="H170" s="317"/>
      <c r="I170" s="317"/>
    </row>
    <row r="171" spans="1:9">
      <c r="A171" s="242"/>
      <c r="B171" s="1198" t="s">
        <v>536</v>
      </c>
      <c r="C171" s="1197"/>
      <c r="D171" s="213">
        <v>-600000</v>
      </c>
      <c r="E171" s="1197"/>
      <c r="F171" s="213">
        <v>600000</v>
      </c>
      <c r="G171" s="317"/>
      <c r="H171" s="317"/>
      <c r="I171" s="317"/>
    </row>
    <row r="172" spans="1:9">
      <c r="A172" s="242"/>
      <c r="B172" s="1198"/>
      <c r="C172" s="1197"/>
      <c r="D172" s="338"/>
      <c r="E172" s="1197"/>
      <c r="F172" s="338"/>
      <c r="G172" s="317"/>
      <c r="H172" s="317"/>
      <c r="I172" s="317"/>
    </row>
    <row r="173" spans="1:9">
      <c r="A173" s="242"/>
      <c r="B173" s="1198"/>
      <c r="C173" s="1197"/>
      <c r="D173" s="317"/>
      <c r="E173" s="1197"/>
      <c r="F173" s="317"/>
      <c r="G173" s="317"/>
      <c r="H173" s="317"/>
      <c r="I173" s="317"/>
    </row>
    <row r="174" spans="1:9" ht="13.5" thickBot="1">
      <c r="A174" s="242"/>
      <c r="B174" s="734" t="s">
        <v>2069</v>
      </c>
      <c r="C174" s="1197"/>
      <c r="D174" s="143">
        <f>SUM(D168:D171)</f>
        <v>0</v>
      </c>
      <c r="E174" s="1197"/>
      <c r="F174" s="143">
        <f>SUM(F168:F173)</f>
        <v>9004553</v>
      </c>
      <c r="G174" s="317"/>
      <c r="H174" s="317"/>
      <c r="I174" s="317"/>
    </row>
    <row r="175" spans="1:9" ht="51.75" thickTop="1">
      <c r="A175" s="242"/>
      <c r="B175" s="211" t="s">
        <v>2050</v>
      </c>
      <c r="C175" s="1197"/>
      <c r="D175" s="136"/>
      <c r="E175" s="1197"/>
      <c r="F175" s="317"/>
      <c r="G175" s="317"/>
      <c r="H175" s="317"/>
      <c r="I175" s="317"/>
    </row>
    <row r="176" spans="1:9">
      <c r="A176" s="242"/>
      <c r="B176" s="211"/>
      <c r="C176" s="1197"/>
      <c r="D176" s="136"/>
      <c r="E176" s="1197"/>
      <c r="F176" s="317"/>
      <c r="G176" s="317"/>
      <c r="H176" s="317"/>
      <c r="I176" s="317"/>
    </row>
    <row r="177" spans="1:12">
      <c r="A177" s="242"/>
      <c r="B177" s="730" t="s">
        <v>351</v>
      </c>
      <c r="C177" s="1197"/>
      <c r="D177" s="136">
        <f>F217</f>
        <v>5848522.2800000003</v>
      </c>
      <c r="E177" s="1197"/>
      <c r="F177" s="317"/>
      <c r="G177" s="317"/>
      <c r="H177" s="317"/>
      <c r="I177" s="317"/>
    </row>
    <row r="178" spans="1:12">
      <c r="A178" s="242"/>
      <c r="B178" s="1200" t="s">
        <v>2073</v>
      </c>
      <c r="C178" s="1197"/>
      <c r="D178" s="319"/>
      <c r="E178" s="1197"/>
      <c r="F178" s="319">
        <v>249660</v>
      </c>
      <c r="G178" s="317"/>
      <c r="H178" s="317"/>
      <c r="I178" s="317"/>
    </row>
    <row r="179" spans="1:12">
      <c r="A179" s="242"/>
      <c r="B179" s="1200" t="s">
        <v>2074</v>
      </c>
      <c r="C179" s="1197"/>
      <c r="D179" s="213"/>
      <c r="E179" s="1197"/>
      <c r="F179" s="213">
        <v>350000</v>
      </c>
      <c r="G179" s="317"/>
      <c r="H179" s="317"/>
      <c r="I179" s="317"/>
    </row>
    <row r="180" spans="1:12">
      <c r="A180" s="242"/>
      <c r="B180" s="369" t="s">
        <v>2063</v>
      </c>
      <c r="C180" s="994"/>
      <c r="D180" s="213"/>
      <c r="E180" s="1197"/>
      <c r="F180" s="213">
        <v>144248.54</v>
      </c>
      <c r="G180" s="317"/>
      <c r="H180" s="317"/>
      <c r="I180" s="317"/>
    </row>
    <row r="181" spans="1:12">
      <c r="A181" s="242"/>
      <c r="B181" s="369" t="s">
        <v>1871</v>
      </c>
      <c r="C181" s="994"/>
      <c r="D181" s="213">
        <f>336222.96</f>
        <v>336222.96</v>
      </c>
      <c r="E181" s="1197"/>
      <c r="F181" s="213">
        <v>34731.279999999999</v>
      </c>
      <c r="G181" s="317"/>
      <c r="H181" s="317"/>
      <c r="I181" s="317"/>
    </row>
    <row r="182" spans="1:12">
      <c r="A182" s="242"/>
      <c r="B182" s="369" t="s">
        <v>2064</v>
      </c>
      <c r="C182" s="994"/>
      <c r="D182" s="213"/>
      <c r="E182" s="1197"/>
      <c r="F182" s="213">
        <v>29636.58</v>
      </c>
      <c r="G182" s="317"/>
      <c r="H182" s="317"/>
      <c r="I182" s="317"/>
    </row>
    <row r="183" spans="1:12">
      <c r="A183" s="242"/>
      <c r="B183" s="369" t="s">
        <v>2057</v>
      </c>
      <c r="C183" s="994"/>
      <c r="D183" s="213"/>
      <c r="E183" s="1197"/>
      <c r="F183" s="213">
        <v>192202</v>
      </c>
      <c r="G183" s="317"/>
      <c r="H183" s="317"/>
      <c r="I183" s="317"/>
    </row>
    <row r="184" spans="1:12">
      <c r="A184" s="242"/>
      <c r="B184" s="369" t="s">
        <v>2058</v>
      </c>
      <c r="C184" s="994"/>
      <c r="D184" s="213"/>
      <c r="E184" s="1197"/>
      <c r="F184" s="213">
        <v>140000</v>
      </c>
      <c r="G184" s="317"/>
      <c r="H184" s="317"/>
      <c r="I184" s="317"/>
    </row>
    <row r="185" spans="1:12">
      <c r="A185" s="242"/>
      <c r="B185" s="369" t="s">
        <v>2910</v>
      </c>
      <c r="C185" s="994"/>
      <c r="D185" s="213">
        <v>228144</v>
      </c>
      <c r="E185" s="1618"/>
      <c r="F185" s="213"/>
      <c r="G185" s="317"/>
      <c r="H185" s="317"/>
      <c r="I185" s="317"/>
      <c r="K185" s="1618"/>
      <c r="L185" s="1618"/>
    </row>
    <row r="186" spans="1:12">
      <c r="A186" s="242"/>
      <c r="B186" s="369" t="s">
        <v>2912</v>
      </c>
      <c r="C186" s="994"/>
      <c r="D186" s="213">
        <v>1272547.23</v>
      </c>
      <c r="E186" s="1618"/>
      <c r="F186" s="213"/>
      <c r="G186" s="317"/>
      <c r="H186" s="317"/>
      <c r="I186" s="317"/>
      <c r="K186" s="1618"/>
      <c r="L186" s="1618"/>
    </row>
    <row r="187" spans="1:12">
      <c r="A187" s="242"/>
      <c r="B187" s="369" t="s">
        <v>2913</v>
      </c>
      <c r="C187" s="994"/>
      <c r="D187" s="213">
        <v>314534.8</v>
      </c>
      <c r="E187" s="1618"/>
      <c r="F187" s="213"/>
      <c r="G187" s="317"/>
      <c r="H187" s="317"/>
      <c r="I187" s="317"/>
      <c r="K187" s="1618"/>
      <c r="L187" s="1618"/>
    </row>
    <row r="188" spans="1:12">
      <c r="A188" s="242"/>
      <c r="B188" s="369" t="s">
        <v>2914</v>
      </c>
      <c r="C188" s="994"/>
      <c r="D188" s="213">
        <v>1022318.65</v>
      </c>
      <c r="E188" s="1618"/>
      <c r="F188" s="213"/>
      <c r="G188" s="317"/>
      <c r="H188" s="317"/>
      <c r="I188" s="317"/>
      <c r="K188" s="1618"/>
      <c r="L188" s="1618"/>
    </row>
    <row r="189" spans="1:12">
      <c r="A189" s="242"/>
      <c r="B189" s="369" t="s">
        <v>2915</v>
      </c>
      <c r="C189" s="994"/>
      <c r="D189" s="213">
        <v>958993.72</v>
      </c>
      <c r="E189" s="1618"/>
      <c r="F189" s="213"/>
      <c r="G189" s="317"/>
      <c r="H189" s="317"/>
      <c r="I189" s="317"/>
      <c r="K189" s="1618"/>
      <c r="L189" s="1618"/>
    </row>
    <row r="190" spans="1:12">
      <c r="A190" s="242"/>
      <c r="B190" s="369" t="s">
        <v>2916</v>
      </c>
      <c r="C190" s="994"/>
      <c r="D190" s="213">
        <v>4466612.9400000004</v>
      </c>
      <c r="E190" s="1618"/>
      <c r="F190" s="213"/>
      <c r="G190" s="317"/>
      <c r="H190" s="317"/>
      <c r="I190" s="317"/>
      <c r="K190" s="1618"/>
      <c r="L190" s="1618"/>
    </row>
    <row r="191" spans="1:12">
      <c r="A191" s="242"/>
      <c r="B191" s="369" t="s">
        <v>2917</v>
      </c>
      <c r="C191" s="994"/>
      <c r="D191" s="213">
        <v>236070.74</v>
      </c>
      <c r="E191" s="1618"/>
      <c r="F191" s="213"/>
      <c r="G191" s="317"/>
      <c r="H191" s="317"/>
      <c r="I191" s="317"/>
      <c r="K191" s="1618"/>
      <c r="L191" s="1618"/>
    </row>
    <row r="192" spans="1:12">
      <c r="A192" s="242"/>
      <c r="B192" s="369" t="s">
        <v>2918</v>
      </c>
      <c r="C192" s="994"/>
      <c r="D192" s="213">
        <v>783599.49</v>
      </c>
      <c r="E192" s="1618"/>
      <c r="F192" s="213"/>
      <c r="G192" s="317"/>
      <c r="H192" s="317"/>
      <c r="I192" s="317"/>
      <c r="K192" s="1618"/>
      <c r="L192" s="1618"/>
    </row>
    <row r="193" spans="1:12">
      <c r="A193" s="242"/>
      <c r="B193" s="369" t="s">
        <v>2919</v>
      </c>
      <c r="C193" s="994"/>
      <c r="D193" s="213">
        <v>399228</v>
      </c>
      <c r="E193" s="1618"/>
      <c r="F193" s="213"/>
      <c r="G193" s="317"/>
      <c r="H193" s="317"/>
      <c r="I193" s="317"/>
      <c r="K193" s="1618"/>
      <c r="L193" s="1618"/>
    </row>
    <row r="194" spans="1:12">
      <c r="A194" s="242"/>
      <c r="B194" s="369" t="s">
        <v>2920</v>
      </c>
      <c r="C194" s="994"/>
      <c r="D194" s="213">
        <v>1096035.31</v>
      </c>
      <c r="E194" s="1618"/>
      <c r="F194" s="213"/>
      <c r="G194" s="317"/>
      <c r="H194" s="317"/>
      <c r="I194" s="317"/>
      <c r="K194" s="1618"/>
      <c r="L194" s="1618"/>
    </row>
    <row r="195" spans="1:12">
      <c r="A195" s="242"/>
      <c r="B195" s="369" t="s">
        <v>2921</v>
      </c>
      <c r="C195" s="994"/>
      <c r="D195" s="213">
        <v>1177076.6399999999</v>
      </c>
      <c r="E195" s="1618"/>
      <c r="F195" s="213"/>
      <c r="G195" s="317"/>
      <c r="H195" s="317"/>
      <c r="I195" s="317"/>
      <c r="K195" s="1618"/>
      <c r="L195" s="1618"/>
    </row>
    <row r="196" spans="1:12">
      <c r="A196" s="242"/>
      <c r="B196" s="369" t="s">
        <v>2922</v>
      </c>
      <c r="C196" s="994"/>
      <c r="D196" s="213">
        <v>216543</v>
      </c>
      <c r="E196" s="1618"/>
      <c r="F196" s="213"/>
      <c r="G196" s="317"/>
      <c r="H196" s="317"/>
      <c r="I196" s="317"/>
      <c r="K196" s="1618"/>
      <c r="L196" s="1618"/>
    </row>
    <row r="197" spans="1:12">
      <c r="A197" s="242"/>
      <c r="B197" s="369" t="s">
        <v>2923</v>
      </c>
      <c r="C197" s="994"/>
      <c r="D197" s="213">
        <v>1922884.95</v>
      </c>
      <c r="E197" s="1618"/>
      <c r="F197" s="213"/>
      <c r="G197" s="317"/>
      <c r="H197" s="317"/>
      <c r="I197" s="317"/>
      <c r="K197" s="1618"/>
      <c r="L197" s="1618"/>
    </row>
    <row r="198" spans="1:12">
      <c r="A198" s="242"/>
      <c r="B198" s="369" t="s">
        <v>1946</v>
      </c>
      <c r="C198" s="994"/>
      <c r="D198" s="213">
        <v>280000</v>
      </c>
      <c r="E198" s="1618"/>
      <c r="F198" s="213"/>
      <c r="G198" s="317"/>
      <c r="H198" s="317"/>
      <c r="I198" s="317"/>
      <c r="K198" s="1618"/>
      <c r="L198" s="1618"/>
    </row>
    <row r="199" spans="1:12">
      <c r="A199" s="242"/>
      <c r="B199" s="369" t="s">
        <v>2924</v>
      </c>
      <c r="C199" s="994"/>
      <c r="D199" s="213">
        <v>259066.14</v>
      </c>
      <c r="E199" s="1618"/>
      <c r="F199" s="213"/>
      <c r="G199" s="317"/>
      <c r="H199" s="317"/>
      <c r="I199" s="317"/>
      <c r="K199" s="1618"/>
      <c r="L199" s="1618"/>
    </row>
    <row r="200" spans="1:12">
      <c r="A200" s="242"/>
      <c r="B200" s="369" t="s">
        <v>2925</v>
      </c>
      <c r="C200" s="994"/>
      <c r="D200" s="213">
        <v>456500</v>
      </c>
      <c r="E200" s="1618"/>
      <c r="F200" s="213"/>
      <c r="G200" s="317"/>
      <c r="H200" s="317"/>
      <c r="I200" s="317"/>
      <c r="K200" s="1618"/>
      <c r="L200" s="1618"/>
    </row>
    <row r="201" spans="1:12">
      <c r="A201" s="242"/>
      <c r="B201" s="369" t="s">
        <v>2926</v>
      </c>
      <c r="C201" s="994"/>
      <c r="D201" s="213">
        <v>459200</v>
      </c>
      <c r="E201" s="1618"/>
      <c r="F201" s="213"/>
      <c r="G201" s="317"/>
      <c r="H201" s="317"/>
      <c r="I201" s="317"/>
      <c r="K201" s="1618"/>
      <c r="L201" s="1618"/>
    </row>
    <row r="202" spans="1:12">
      <c r="A202" s="242"/>
      <c r="B202" s="369" t="s">
        <v>2938</v>
      </c>
      <c r="C202" s="994"/>
      <c r="D202" s="213">
        <v>822013.09</v>
      </c>
      <c r="E202" s="1634"/>
      <c r="F202" s="213"/>
      <c r="G202" s="317"/>
      <c r="H202" s="317"/>
      <c r="I202" s="317"/>
      <c r="K202" s="1634"/>
      <c r="L202" s="1634"/>
    </row>
    <row r="203" spans="1:12">
      <c r="A203" s="242"/>
      <c r="B203" s="369" t="s">
        <v>2939</v>
      </c>
      <c r="C203" s="994"/>
      <c r="D203" s="213">
        <v>664371.48</v>
      </c>
      <c r="E203" s="1634"/>
      <c r="F203" s="213"/>
      <c r="G203" s="317"/>
      <c r="H203" s="317"/>
      <c r="I203" s="317"/>
      <c r="K203" s="1634"/>
      <c r="L203" s="1634"/>
    </row>
    <row r="204" spans="1:12">
      <c r="A204" s="242"/>
      <c r="B204" s="369" t="s">
        <v>2940</v>
      </c>
      <c r="C204" s="994"/>
      <c r="D204" s="213">
        <v>8808244.9000000004</v>
      </c>
      <c r="E204" s="1618"/>
      <c r="F204" s="213"/>
      <c r="G204" s="317"/>
      <c r="H204" s="317"/>
      <c r="I204" s="317"/>
      <c r="K204" s="1618"/>
      <c r="L204" s="1618"/>
    </row>
    <row r="205" spans="1:12">
      <c r="A205" s="242"/>
      <c r="B205" s="369" t="s">
        <v>2941</v>
      </c>
      <c r="C205" s="994"/>
      <c r="D205" s="213">
        <v>238260</v>
      </c>
      <c r="E205" s="1634"/>
      <c r="F205" s="213"/>
      <c r="G205" s="317"/>
      <c r="H205" s="317"/>
      <c r="I205" s="317"/>
      <c r="K205" s="1634"/>
      <c r="L205" s="1634"/>
    </row>
    <row r="206" spans="1:12">
      <c r="A206" s="242"/>
      <c r="B206" s="369" t="s">
        <v>2942</v>
      </c>
      <c r="C206" s="994"/>
      <c r="D206" s="213">
        <v>144098.57</v>
      </c>
      <c r="E206" s="1634"/>
      <c r="F206" s="213"/>
      <c r="G206" s="317"/>
      <c r="H206" s="317"/>
      <c r="I206" s="317"/>
      <c r="K206" s="1634"/>
      <c r="L206" s="1634"/>
    </row>
    <row r="207" spans="1:12">
      <c r="A207" s="242"/>
      <c r="B207" s="369" t="s">
        <v>2943</v>
      </c>
      <c r="C207" s="994"/>
      <c r="D207" s="213">
        <v>2781679.15</v>
      </c>
      <c r="E207" s="1634"/>
      <c r="F207" s="213"/>
      <c r="G207" s="317"/>
      <c r="H207" s="317"/>
      <c r="I207" s="317"/>
      <c r="K207" s="1634"/>
      <c r="L207" s="1634"/>
    </row>
    <row r="208" spans="1:12">
      <c r="A208" s="242"/>
      <c r="B208" s="369" t="s">
        <v>2059</v>
      </c>
      <c r="C208" s="994"/>
      <c r="D208" s="213"/>
      <c r="E208" s="1634"/>
      <c r="F208" s="213">
        <v>452880</v>
      </c>
      <c r="G208" s="317"/>
      <c r="H208" s="317"/>
      <c r="I208" s="317"/>
      <c r="K208" s="1634"/>
      <c r="L208" s="1634"/>
    </row>
    <row r="209" spans="1:12">
      <c r="A209" s="242"/>
      <c r="B209" s="369" t="s">
        <v>2060</v>
      </c>
      <c r="C209" s="994"/>
      <c r="D209" s="213">
        <f>869635+76009</f>
        <v>945644</v>
      </c>
      <c r="E209" s="1634"/>
      <c r="F209" s="213">
        <v>602055.07999999996</v>
      </c>
      <c r="G209" s="317"/>
      <c r="H209" s="317"/>
      <c r="I209" s="317"/>
      <c r="K209" s="1634"/>
      <c r="L209" s="1634"/>
    </row>
    <row r="210" spans="1:12">
      <c r="A210" s="242"/>
      <c r="B210" s="369" t="s">
        <v>2061</v>
      </c>
      <c r="C210" s="994"/>
      <c r="D210" s="213">
        <v>6350168.0099999998</v>
      </c>
      <c r="E210" s="1634"/>
      <c r="F210" s="213">
        <v>1647091.83</v>
      </c>
      <c r="G210" s="317"/>
      <c r="H210" s="317"/>
      <c r="I210" s="317"/>
      <c r="K210" s="1634"/>
      <c r="L210" s="1634"/>
    </row>
    <row r="211" spans="1:12">
      <c r="A211" s="242"/>
      <c r="B211" s="369" t="s">
        <v>2062</v>
      </c>
      <c r="C211" s="994"/>
      <c r="D211" s="213">
        <v>972067</v>
      </c>
      <c r="E211" s="1634"/>
      <c r="F211" s="213">
        <v>2006016.97</v>
      </c>
      <c r="G211" s="317"/>
      <c r="H211" s="317"/>
      <c r="I211" s="317"/>
      <c r="K211" s="1634"/>
      <c r="L211" s="1634"/>
    </row>
    <row r="212" spans="1:12">
      <c r="A212" s="242"/>
      <c r="B212" s="369"/>
      <c r="C212" s="994"/>
      <c r="D212" s="213"/>
      <c r="E212" s="1634"/>
      <c r="F212" s="213"/>
      <c r="G212" s="317"/>
      <c r="H212" s="317"/>
      <c r="I212" s="317"/>
      <c r="K212" s="1634"/>
      <c r="L212" s="1634"/>
    </row>
    <row r="213" spans="1:12">
      <c r="A213" s="242"/>
      <c r="B213" s="369"/>
      <c r="C213" s="994"/>
      <c r="D213" s="213"/>
      <c r="E213" s="1634"/>
      <c r="F213" s="213"/>
      <c r="G213" s="317"/>
      <c r="H213" s="317"/>
      <c r="I213" s="317"/>
      <c r="K213" s="1634"/>
      <c r="L213" s="1634"/>
    </row>
    <row r="214" spans="1:12">
      <c r="A214" s="242"/>
      <c r="B214" s="369"/>
      <c r="C214" s="994"/>
      <c r="D214" s="213"/>
      <c r="E214" s="1634"/>
      <c r="F214" s="213"/>
      <c r="G214" s="317"/>
      <c r="H214" s="317"/>
      <c r="I214" s="317"/>
      <c r="K214" s="1634"/>
      <c r="L214" s="1634"/>
    </row>
    <row r="215" spans="1:12">
      <c r="A215" s="242"/>
      <c r="B215" s="211"/>
      <c r="C215" s="1197"/>
      <c r="D215" s="338">
        <v>0</v>
      </c>
      <c r="E215" s="1197"/>
      <c r="F215" s="338">
        <v>0</v>
      </c>
      <c r="G215" s="317"/>
      <c r="H215" s="317"/>
      <c r="I215" s="317"/>
    </row>
    <row r="216" spans="1:12">
      <c r="A216" s="242"/>
      <c r="B216" s="211"/>
      <c r="C216" s="1197"/>
      <c r="D216" s="317"/>
      <c r="E216" s="1197"/>
      <c r="F216" s="317"/>
      <c r="G216" s="317"/>
      <c r="H216" s="317"/>
      <c r="I216" s="317"/>
    </row>
    <row r="217" spans="1:12" ht="13.5" thickBot="1">
      <c r="A217" s="242"/>
      <c r="B217" s="734" t="s">
        <v>2056</v>
      </c>
      <c r="C217" s="1197"/>
      <c r="D217" s="143">
        <f>SUM(D177:D216)</f>
        <v>43460647.049999997</v>
      </c>
      <c r="E217" s="1197"/>
      <c r="F217" s="143">
        <f>SUM(F177:F216)</f>
        <v>5848522.2800000003</v>
      </c>
      <c r="G217" s="317"/>
      <c r="H217" s="317"/>
      <c r="I217" s="317"/>
    </row>
    <row r="218" spans="1:12" ht="90" thickTop="1">
      <c r="A218" s="242"/>
      <c r="B218" s="211" t="s">
        <v>2052</v>
      </c>
      <c r="C218" s="1197"/>
      <c r="D218" s="317"/>
      <c r="E218" s="1197"/>
      <c r="F218" s="317"/>
      <c r="G218" s="317"/>
      <c r="H218" s="317"/>
      <c r="I218" s="317"/>
    </row>
    <row r="219" spans="1:12" ht="38.25">
      <c r="A219" s="242"/>
      <c r="B219" s="211" t="s">
        <v>2051</v>
      </c>
      <c r="C219" s="1197"/>
      <c r="D219" s="317"/>
      <c r="E219" s="1197"/>
      <c r="F219" s="317"/>
      <c r="G219" s="317"/>
      <c r="H219" s="317"/>
      <c r="I219" s="317"/>
    </row>
    <row r="220" spans="1:12">
      <c r="A220" s="242"/>
      <c r="B220" s="211"/>
      <c r="C220" s="1197"/>
      <c r="D220" s="317"/>
      <c r="E220" s="1197"/>
      <c r="F220" s="317"/>
      <c r="G220" s="317"/>
      <c r="H220" s="317"/>
      <c r="I220" s="317"/>
    </row>
    <row r="221" spans="1:12">
      <c r="A221" s="242"/>
      <c r="B221" s="211"/>
      <c r="C221" s="1197"/>
      <c r="D221" s="317"/>
      <c r="E221" s="1197"/>
      <c r="F221" s="317"/>
      <c r="G221" s="317"/>
      <c r="H221" s="317"/>
      <c r="I221" s="317"/>
    </row>
    <row r="222" spans="1:12">
      <c r="A222" s="242"/>
      <c r="B222" s="211"/>
      <c r="C222" s="1197"/>
      <c r="D222" s="317"/>
      <c r="E222" s="1197"/>
      <c r="F222" s="317"/>
      <c r="G222" s="317"/>
      <c r="H222" s="317"/>
      <c r="I222" s="317"/>
    </row>
    <row r="223" spans="1:12">
      <c r="A223" s="242"/>
      <c r="B223" s="734"/>
      <c r="C223" s="1197"/>
      <c r="D223" s="317"/>
      <c r="E223" s="1197"/>
      <c r="F223" s="317"/>
      <c r="G223" s="317"/>
      <c r="H223" s="317"/>
      <c r="I223" s="317"/>
    </row>
    <row r="224" spans="1:12">
      <c r="A224" s="242">
        <v>45.2</v>
      </c>
      <c r="B224" s="127" t="s">
        <v>2054</v>
      </c>
      <c r="C224" s="1197"/>
      <c r="D224" s="140" t="s">
        <v>2077</v>
      </c>
      <c r="E224" s="1197"/>
      <c r="F224" s="140" t="s">
        <v>1796</v>
      </c>
      <c r="G224" s="317"/>
      <c r="H224" s="317"/>
      <c r="I224" s="317"/>
    </row>
    <row r="225" spans="1:13">
      <c r="A225" s="242"/>
      <c r="B225" s="211"/>
      <c r="C225" s="1197"/>
      <c r="D225" s="317"/>
      <c r="E225" s="1197"/>
      <c r="F225" s="317"/>
      <c r="G225" s="317"/>
      <c r="H225" s="317"/>
      <c r="I225" s="317"/>
    </row>
    <row r="226" spans="1:13">
      <c r="A226" s="242"/>
      <c r="B226" s="1200" t="s">
        <v>351</v>
      </c>
      <c r="C226" s="1197"/>
      <c r="D226" s="317">
        <f>F234</f>
        <v>28533.96</v>
      </c>
      <c r="E226" s="1197"/>
      <c r="F226" s="317"/>
      <c r="G226" s="317"/>
      <c r="H226" s="317"/>
      <c r="I226" s="317"/>
    </row>
    <row r="227" spans="1:13">
      <c r="A227" s="242"/>
      <c r="B227" s="1200"/>
      <c r="C227" s="1197"/>
      <c r="D227" s="317"/>
      <c r="E227" s="1197"/>
      <c r="F227" s="317"/>
      <c r="G227" s="317"/>
      <c r="H227" s="317"/>
      <c r="I227" s="317"/>
    </row>
    <row r="228" spans="1:13" ht="25.5">
      <c r="A228" s="242"/>
      <c r="B228" s="211" t="s">
        <v>2055</v>
      </c>
      <c r="C228" s="1197"/>
      <c r="D228" s="319">
        <v>525070</v>
      </c>
      <c r="E228" s="1197"/>
      <c r="F228" s="319">
        <v>28533.96</v>
      </c>
      <c r="G228" s="317"/>
      <c r="H228" s="317"/>
      <c r="I228" s="317"/>
    </row>
    <row r="229" spans="1:13">
      <c r="A229" s="242"/>
      <c r="B229" s="211" t="s">
        <v>2066</v>
      </c>
      <c r="C229" s="1634"/>
      <c r="D229" s="213">
        <v>12000</v>
      </c>
      <c r="E229" s="1634"/>
      <c r="F229" s="213"/>
      <c r="G229" s="317"/>
      <c r="H229" s="317"/>
      <c r="I229" s="317"/>
      <c r="K229" s="1634"/>
      <c r="L229" s="1634"/>
    </row>
    <row r="230" spans="1:13">
      <c r="A230" s="242"/>
      <c r="B230" s="211" t="s">
        <v>2911</v>
      </c>
      <c r="C230" s="1618"/>
      <c r="D230" s="213">
        <v>657033</v>
      </c>
      <c r="E230" s="1618"/>
      <c r="F230" s="213"/>
      <c r="G230" s="317"/>
      <c r="H230" s="317"/>
      <c r="I230" s="317"/>
      <c r="K230" s="1618"/>
      <c r="L230" s="1618"/>
    </row>
    <row r="231" spans="1:13">
      <c r="A231" s="242"/>
      <c r="B231" s="211" t="s">
        <v>2027</v>
      </c>
      <c r="C231" s="1618"/>
      <c r="D231" s="213">
        <v>6570450</v>
      </c>
      <c r="E231" s="1618"/>
      <c r="F231" s="213"/>
      <c r="G231" s="317"/>
      <c r="H231" s="317"/>
      <c r="I231" s="317"/>
      <c r="K231" s="1618"/>
      <c r="L231" s="1618"/>
    </row>
    <row r="232" spans="1:13" ht="14.25">
      <c r="A232" s="242"/>
      <c r="B232" s="1021"/>
      <c r="C232" s="1197"/>
      <c r="D232" s="338"/>
      <c r="E232" s="1197"/>
      <c r="F232" s="338"/>
      <c r="G232" s="317"/>
      <c r="H232" s="317"/>
      <c r="I232" s="317"/>
    </row>
    <row r="233" spans="1:13">
      <c r="A233" s="242"/>
      <c r="B233" s="211"/>
      <c r="C233" s="1197"/>
      <c r="D233" s="317"/>
      <c r="E233" s="1197"/>
      <c r="F233" s="317"/>
      <c r="G233" s="317"/>
      <c r="H233" s="317"/>
      <c r="I233" s="317"/>
    </row>
    <row r="234" spans="1:13" ht="13.5" thickBot="1">
      <c r="A234" s="242"/>
      <c r="B234" s="127" t="s">
        <v>2068</v>
      </c>
      <c r="C234" s="1197"/>
      <c r="D234" s="143">
        <f>SUM(D226:D232)</f>
        <v>7793086.96</v>
      </c>
      <c r="E234" s="1197"/>
      <c r="F234" s="143">
        <f>SUM(F228:F233)</f>
        <v>28533.96</v>
      </c>
      <c r="G234" s="317"/>
      <c r="H234" s="317"/>
      <c r="I234" s="317"/>
    </row>
    <row r="235" spans="1:13" ht="13.5" thickTop="1">
      <c r="A235" s="242"/>
      <c r="B235" s="211"/>
      <c r="C235" s="1197"/>
      <c r="D235" s="317"/>
      <c r="E235" s="1197"/>
      <c r="F235" s="317"/>
      <c r="G235" s="317"/>
      <c r="H235" s="317"/>
      <c r="I235" s="317"/>
    </row>
    <row r="236" spans="1:13">
      <c r="A236" s="242"/>
      <c r="B236" s="211"/>
      <c r="C236" s="1197"/>
      <c r="D236" s="317"/>
      <c r="E236" s="1197"/>
    </row>
    <row r="237" spans="1:13">
      <c r="A237" s="243"/>
      <c r="B237" s="735"/>
      <c r="C237" s="314"/>
      <c r="D237" s="315"/>
      <c r="E237" s="314"/>
      <c r="F237" s="314"/>
      <c r="G237" s="314"/>
      <c r="H237" s="314"/>
    </row>
    <row r="238" spans="1:13">
      <c r="A238" s="242"/>
      <c r="B238" s="211"/>
      <c r="C238" s="1197"/>
      <c r="D238" s="317"/>
      <c r="E238" s="1197"/>
      <c r="L238" s="317">
        <v>3657766</v>
      </c>
      <c r="M238" s="334">
        <v>2848138</v>
      </c>
    </row>
    <row r="239" spans="1:13">
      <c r="A239" s="242"/>
      <c r="B239" s="1197"/>
      <c r="C239" s="1197"/>
      <c r="D239" s="317"/>
      <c r="E239" s="1197"/>
      <c r="L239" s="317">
        <v>271649</v>
      </c>
      <c r="M239" s="334">
        <v>335464</v>
      </c>
    </row>
    <row r="240" spans="1:13">
      <c r="A240" s="242">
        <v>46</v>
      </c>
      <c r="B240" s="125" t="s">
        <v>2201</v>
      </c>
      <c r="C240" s="1197"/>
      <c r="D240" s="140" t="s">
        <v>2077</v>
      </c>
      <c r="E240" s="1197"/>
      <c r="F240" s="140" t="s">
        <v>1796</v>
      </c>
      <c r="G240" s="736"/>
      <c r="H240" s="736"/>
      <c r="I240" s="736"/>
      <c r="J240" s="737"/>
      <c r="L240" s="317">
        <f>SUM(L238:L239)</f>
        <v>3929415</v>
      </c>
      <c r="M240" s="334">
        <f>SUM(M238:M239)</f>
        <v>3183602</v>
      </c>
    </row>
    <row r="241" spans="1:13">
      <c r="A241" s="242"/>
      <c r="B241" s="1197"/>
      <c r="C241" s="1197"/>
      <c r="D241" s="317"/>
      <c r="E241" s="1197"/>
      <c r="F241" s="736"/>
      <c r="G241" s="736"/>
      <c r="H241" s="736"/>
      <c r="I241" s="736"/>
      <c r="J241" s="737"/>
    </row>
    <row r="242" spans="1:13">
      <c r="A242" s="242"/>
      <c r="B242" s="125" t="s">
        <v>2762</v>
      </c>
      <c r="C242" s="1197"/>
      <c r="D242" s="317"/>
      <c r="E242" s="1197"/>
      <c r="F242" s="736"/>
      <c r="G242" s="736"/>
      <c r="H242" s="736"/>
      <c r="I242" s="736"/>
      <c r="J242" s="737"/>
    </row>
    <row r="243" spans="1:13" ht="51">
      <c r="A243" s="242"/>
      <c r="B243" s="819" t="s">
        <v>2766</v>
      </c>
      <c r="C243" s="1197"/>
      <c r="D243" s="317"/>
      <c r="E243" s="1197"/>
      <c r="F243" s="736"/>
      <c r="G243" s="736"/>
      <c r="H243" s="736"/>
      <c r="I243" s="736"/>
      <c r="J243" s="737"/>
    </row>
    <row r="244" spans="1:13">
      <c r="A244" s="242"/>
      <c r="B244" s="125"/>
      <c r="C244" s="1197"/>
      <c r="D244" s="317"/>
      <c r="E244" s="1197"/>
      <c r="F244" s="736"/>
      <c r="G244" s="736"/>
      <c r="H244" s="736"/>
      <c r="I244" s="736"/>
      <c r="J244" s="737"/>
    </row>
    <row r="245" spans="1:13">
      <c r="A245" s="242"/>
      <c r="B245" s="762" t="s">
        <v>2763</v>
      </c>
      <c r="C245" s="1197"/>
      <c r="D245" s="317"/>
      <c r="E245" s="1197"/>
      <c r="F245" s="736"/>
      <c r="G245" s="736"/>
      <c r="H245" s="736"/>
      <c r="I245" s="736"/>
      <c r="J245" s="1737" t="s">
        <v>1757</v>
      </c>
      <c r="K245" s="1737"/>
      <c r="L245" s="1737"/>
      <c r="M245" s="1737"/>
    </row>
    <row r="246" spans="1:13" ht="180" customHeight="1">
      <c r="A246" s="242"/>
      <c r="B246" s="1223" t="s">
        <v>2792</v>
      </c>
      <c r="C246" s="1197"/>
      <c r="D246" s="317"/>
      <c r="E246" s="1197"/>
      <c r="F246" s="736"/>
      <c r="G246" s="736"/>
      <c r="H246" s="736"/>
      <c r="I246" s="736"/>
      <c r="J246" s="1737" t="s">
        <v>1758</v>
      </c>
      <c r="K246" s="1737"/>
      <c r="L246" s="1737"/>
      <c r="M246" s="1737"/>
    </row>
    <row r="247" spans="1:13">
      <c r="A247" s="242"/>
      <c r="B247" s="819"/>
      <c r="C247" s="1197"/>
      <c r="D247" s="317"/>
      <c r="E247" s="1197"/>
      <c r="F247" s="736"/>
      <c r="G247" s="736"/>
      <c r="H247" s="736"/>
      <c r="I247" s="736"/>
      <c r="J247" s="1200" t="s">
        <v>1759</v>
      </c>
    </row>
    <row r="248" spans="1:13" ht="85.5">
      <c r="A248" s="242"/>
      <c r="B248" s="1224" t="s">
        <v>2765</v>
      </c>
      <c r="C248" s="1197"/>
      <c r="D248" s="317"/>
      <c r="E248" s="1197"/>
      <c r="F248" s="736"/>
      <c r="G248" s="736"/>
      <c r="H248" s="736"/>
      <c r="I248" s="736"/>
      <c r="J248" s="1200" t="s">
        <v>1760</v>
      </c>
    </row>
    <row r="249" spans="1:13" ht="15">
      <c r="A249" s="242"/>
      <c r="B249" s="1224"/>
      <c r="C249" s="1197"/>
      <c r="D249" s="317"/>
      <c r="E249" s="1197"/>
      <c r="F249" s="736"/>
      <c r="G249" s="736"/>
      <c r="H249" s="736"/>
      <c r="I249" s="736"/>
      <c r="J249" s="1200" t="s">
        <v>2011</v>
      </c>
    </row>
    <row r="250" spans="1:13" ht="63.75">
      <c r="A250" s="242"/>
      <c r="B250" s="408" t="s">
        <v>2764</v>
      </c>
      <c r="C250" s="1197"/>
      <c r="D250" s="317"/>
      <c r="E250" s="1197"/>
      <c r="F250" s="736"/>
      <c r="G250" s="736"/>
      <c r="H250" s="736"/>
      <c r="I250" s="736"/>
      <c r="J250" s="1200"/>
    </row>
    <row r="251" spans="1:13">
      <c r="A251" s="242"/>
      <c r="B251" s="1197"/>
      <c r="C251" s="1197"/>
      <c r="D251" s="317"/>
      <c r="E251" s="1197"/>
      <c r="F251" s="736"/>
      <c r="G251" s="736"/>
      <c r="H251" s="736"/>
      <c r="I251" s="736"/>
      <c r="J251" s="1200" t="s">
        <v>1346</v>
      </c>
    </row>
    <row r="252" spans="1:13">
      <c r="A252" s="242"/>
      <c r="B252" s="1197"/>
      <c r="C252" s="1197"/>
      <c r="D252" s="317"/>
      <c r="E252" s="1197"/>
      <c r="F252" s="736"/>
      <c r="G252" s="736"/>
      <c r="H252" s="736"/>
      <c r="I252" s="736"/>
      <c r="J252" s="1200"/>
    </row>
    <row r="253" spans="1:13">
      <c r="A253" s="242">
        <v>47</v>
      </c>
      <c r="B253" s="1210" t="s">
        <v>2162</v>
      </c>
      <c r="C253" s="1211"/>
      <c r="D253" s="1211"/>
      <c r="E253" s="1212"/>
      <c r="F253" s="736"/>
      <c r="G253" s="736"/>
      <c r="H253" s="736"/>
      <c r="I253" s="736"/>
      <c r="J253" s="1200"/>
    </row>
    <row r="254" spans="1:13">
      <c r="A254" s="242"/>
      <c r="B254" s="1210"/>
      <c r="C254" s="1211"/>
      <c r="D254" s="1211"/>
      <c r="E254" s="1212"/>
      <c r="F254" s="736"/>
      <c r="G254" s="736"/>
      <c r="H254" s="736"/>
      <c r="I254" s="736"/>
      <c r="J254" s="1200"/>
    </row>
    <row r="255" spans="1:13">
      <c r="A255" s="242"/>
      <c r="B255" s="1210" t="s">
        <v>2163</v>
      </c>
      <c r="C255" s="1211"/>
      <c r="D255" s="1211"/>
      <c r="E255" s="1212"/>
      <c r="F255" s="736"/>
      <c r="G255" s="736"/>
      <c r="H255" s="736"/>
      <c r="I255" s="736"/>
      <c r="J255" s="1200"/>
    </row>
    <row r="256" spans="1:13">
      <c r="A256" s="242"/>
      <c r="B256" s="1210"/>
      <c r="C256" s="1211"/>
      <c r="D256" s="1211"/>
      <c r="E256" s="1212"/>
      <c r="F256" s="736"/>
      <c r="G256" s="736"/>
      <c r="H256" s="736"/>
      <c r="I256" s="736"/>
      <c r="J256" s="1200"/>
    </row>
    <row r="257" spans="1:10" ht="51">
      <c r="A257" s="242"/>
      <c r="B257" s="1213" t="s">
        <v>2164</v>
      </c>
      <c r="C257" s="1211"/>
      <c r="D257" s="1211"/>
      <c r="E257" s="1212"/>
      <c r="F257" s="736"/>
      <c r="G257" s="736"/>
      <c r="H257" s="736"/>
      <c r="I257" s="736"/>
      <c r="J257" s="1200"/>
    </row>
    <row r="258" spans="1:10">
      <c r="A258" s="242"/>
      <c r="B258" s="1213"/>
      <c r="C258" s="1211"/>
      <c r="D258" s="1211"/>
      <c r="E258" s="1212"/>
      <c r="F258" s="736"/>
      <c r="G258" s="736"/>
      <c r="H258" s="736"/>
      <c r="I258" s="736"/>
      <c r="J258" s="1200"/>
    </row>
    <row r="259" spans="1:10" ht="165.75">
      <c r="A259" s="242"/>
      <c r="B259" s="1214" t="s">
        <v>2165</v>
      </c>
      <c r="C259" s="1211"/>
      <c r="D259" s="1211"/>
      <c r="E259" s="1212"/>
      <c r="F259" s="736"/>
      <c r="G259" s="736"/>
      <c r="H259" s="736"/>
      <c r="I259" s="736"/>
      <c r="J259" s="1200"/>
    </row>
    <row r="260" spans="1:10">
      <c r="A260" s="242"/>
      <c r="B260" s="1213"/>
      <c r="C260" s="1211"/>
      <c r="D260" s="1215"/>
      <c r="E260" s="1215"/>
      <c r="F260" s="736"/>
      <c r="G260" s="736"/>
      <c r="H260" s="736"/>
      <c r="I260" s="736"/>
      <c r="J260" s="1200"/>
    </row>
    <row r="261" spans="1:10" ht="25.5">
      <c r="A261" s="242"/>
      <c r="B261" s="1213" t="s">
        <v>2166</v>
      </c>
      <c r="C261" s="1211"/>
      <c r="D261" s="1215"/>
      <c r="E261" s="1215"/>
      <c r="F261" s="736"/>
      <c r="G261" s="736"/>
      <c r="H261" s="736"/>
      <c r="I261" s="736"/>
      <c r="J261" s="1200"/>
    </row>
    <row r="262" spans="1:10">
      <c r="A262" s="242"/>
      <c r="B262" s="1213"/>
      <c r="C262" s="1211"/>
      <c r="D262" s="1212">
        <v>3878745.5599999996</v>
      </c>
      <c r="E262" s="1212"/>
      <c r="F262" s="1212">
        <v>1507828.77</v>
      </c>
      <c r="G262" s="736"/>
      <c r="H262" s="736"/>
      <c r="I262" s="736"/>
      <c r="J262" s="1200"/>
    </row>
    <row r="263" spans="1:10">
      <c r="A263" s="242"/>
      <c r="B263" s="1213" t="s">
        <v>2789</v>
      </c>
      <c r="C263" s="1211"/>
      <c r="D263" s="1216"/>
      <c r="E263" s="1216"/>
      <c r="F263" s="1216"/>
      <c r="G263" s="736"/>
      <c r="H263" s="736"/>
      <c r="I263" s="736"/>
      <c r="J263" s="1200"/>
    </row>
    <row r="264" spans="1:10">
      <c r="A264" s="242"/>
      <c r="B264" s="1213" t="s">
        <v>2790</v>
      </c>
      <c r="C264" s="1211"/>
      <c r="D264" s="1216">
        <v>6107149</v>
      </c>
      <c r="E264" s="1216"/>
      <c r="F264" s="1216">
        <v>1089338.58</v>
      </c>
      <c r="G264" s="736"/>
      <c r="H264" s="736"/>
      <c r="I264" s="736"/>
      <c r="J264" s="1200"/>
    </row>
    <row r="265" spans="1:10">
      <c r="A265" s="242"/>
      <c r="B265" s="1225"/>
      <c r="C265" s="1226"/>
      <c r="D265" s="1227"/>
      <c r="E265" s="1227"/>
      <c r="F265" s="1227"/>
      <c r="G265" s="736"/>
      <c r="H265" s="736"/>
      <c r="I265" s="736"/>
      <c r="J265" s="1200"/>
    </row>
    <row r="266" spans="1:10">
      <c r="A266" s="242"/>
      <c r="B266" s="1225"/>
      <c r="C266" s="1226"/>
      <c r="D266" s="1227"/>
      <c r="E266" s="1227"/>
      <c r="F266" s="1227"/>
      <c r="G266" s="736"/>
      <c r="H266" s="736"/>
      <c r="I266" s="736"/>
      <c r="J266" s="1200"/>
    </row>
    <row r="267" spans="1:10">
      <c r="A267" s="242"/>
      <c r="B267" s="1213" t="s">
        <v>2171</v>
      </c>
      <c r="C267" s="1211"/>
      <c r="D267" s="1216">
        <f>'Note 15A&amp;15B'!D8</f>
        <v>113244748.37</v>
      </c>
      <c r="E267" s="1216"/>
      <c r="F267" s="1216">
        <f>'Note 15A&amp;15B'!F8</f>
        <v>89634729.769999996</v>
      </c>
      <c r="G267" s="736"/>
      <c r="H267" s="736"/>
      <c r="I267" s="736"/>
      <c r="J267" s="1200"/>
    </row>
    <row r="268" spans="1:10">
      <c r="A268" s="242"/>
      <c r="B268" s="1213"/>
      <c r="C268" s="1211"/>
      <c r="D268" s="1216"/>
      <c r="E268" s="1216"/>
      <c r="F268" s="1216"/>
      <c r="G268" s="736"/>
      <c r="H268" s="736"/>
      <c r="I268" s="736"/>
      <c r="J268" s="1200"/>
    </row>
    <row r="269" spans="1:10" ht="25.5">
      <c r="A269" s="242"/>
      <c r="B269" s="1213" t="s">
        <v>2172</v>
      </c>
      <c r="C269" s="1211"/>
      <c r="D269" s="1211"/>
      <c r="E269" s="1212"/>
      <c r="F269" s="736"/>
      <c r="G269" s="736"/>
      <c r="H269" s="736"/>
      <c r="I269" s="736"/>
      <c r="J269" s="1200"/>
    </row>
    <row r="270" spans="1:10" ht="25.5">
      <c r="A270" s="242"/>
      <c r="B270" s="1213" t="s">
        <v>2791</v>
      </c>
      <c r="C270" s="1211"/>
      <c r="D270" s="1211"/>
      <c r="E270" s="1212"/>
      <c r="F270" s="736"/>
      <c r="G270" s="736"/>
      <c r="H270" s="736"/>
      <c r="I270" s="736"/>
      <c r="J270" s="1200"/>
    </row>
    <row r="271" spans="1:10">
      <c r="A271" s="242"/>
      <c r="B271" s="1197"/>
      <c r="C271" s="1197"/>
      <c r="D271" s="317"/>
      <c r="E271" s="1197"/>
      <c r="F271" s="736"/>
      <c r="G271" s="736"/>
      <c r="H271" s="736"/>
      <c r="I271" s="736"/>
      <c r="J271" s="1200"/>
    </row>
    <row r="272" spans="1:10">
      <c r="A272" s="242"/>
      <c r="B272" s="1197"/>
      <c r="C272" s="1197"/>
      <c r="D272" s="317"/>
      <c r="E272" s="1197"/>
      <c r="F272" s="736"/>
      <c r="G272" s="736"/>
      <c r="H272" s="736"/>
      <c r="I272" s="736"/>
      <c r="J272" s="1200"/>
    </row>
    <row r="273" spans="1:12">
      <c r="A273" s="242">
        <v>48</v>
      </c>
      <c r="B273" s="1210" t="s">
        <v>2199</v>
      </c>
      <c r="C273" s="1197"/>
      <c r="D273" s="317"/>
      <c r="E273" s="1197"/>
      <c r="F273" s="736"/>
      <c r="G273" s="736"/>
      <c r="H273" s="736"/>
      <c r="I273" s="736"/>
      <c r="J273" s="1200"/>
    </row>
    <row r="274" spans="1:12">
      <c r="A274" s="242"/>
      <c r="B274" s="1210"/>
      <c r="C274" s="1197"/>
      <c r="D274" s="317"/>
      <c r="E274" s="1197"/>
      <c r="F274" s="736"/>
      <c r="G274" s="736"/>
      <c r="H274" s="736"/>
      <c r="I274" s="736"/>
      <c r="J274" s="1200"/>
    </row>
    <row r="275" spans="1:12" ht="38.25">
      <c r="A275" s="242"/>
      <c r="B275" s="1213" t="s">
        <v>2200</v>
      </c>
      <c r="C275" s="1197"/>
      <c r="D275" s="317"/>
      <c r="E275" s="1197"/>
      <c r="F275" s="736"/>
      <c r="G275" s="736"/>
      <c r="H275" s="736"/>
      <c r="I275" s="736"/>
      <c r="J275" s="1200"/>
    </row>
    <row r="276" spans="1:12">
      <c r="A276" s="242"/>
      <c r="B276" s="1197"/>
      <c r="C276" s="1197"/>
      <c r="D276" s="317"/>
      <c r="E276" s="1197"/>
      <c r="F276" s="736"/>
      <c r="G276" s="736"/>
      <c r="H276" s="736"/>
      <c r="I276" s="736"/>
      <c r="J276" s="1200"/>
    </row>
    <row r="277" spans="1:12">
      <c r="A277" s="242">
        <v>49</v>
      </c>
      <c r="B277" s="1577" t="s">
        <v>2904</v>
      </c>
      <c r="C277" s="1197"/>
      <c r="D277" s="140" t="s">
        <v>2077</v>
      </c>
      <c r="E277" s="1634"/>
      <c r="F277" s="140" t="s">
        <v>1796</v>
      </c>
      <c r="G277" s="736"/>
      <c r="H277" s="736"/>
      <c r="I277" s="736"/>
      <c r="J277" s="1200"/>
    </row>
    <row r="278" spans="1:12">
      <c r="A278" s="242"/>
      <c r="B278" s="1578"/>
      <c r="C278" s="1197"/>
      <c r="D278" s="317"/>
      <c r="E278" s="1197"/>
      <c r="F278" s="736"/>
      <c r="G278" s="736"/>
      <c r="H278" s="736"/>
      <c r="I278" s="736"/>
      <c r="J278" s="1200"/>
    </row>
    <row r="279" spans="1:12">
      <c r="A279" s="242"/>
      <c r="B279" s="1637" t="s">
        <v>2929</v>
      </c>
      <c r="C279" s="1634"/>
      <c r="D279" s="136">
        <f>F285</f>
        <v>2843328</v>
      </c>
      <c r="E279" s="1634"/>
      <c r="F279" s="1639">
        <v>2681439</v>
      </c>
      <c r="G279" s="736"/>
      <c r="H279" s="736"/>
      <c r="I279" s="736"/>
      <c r="J279" s="1633"/>
      <c r="K279" s="1634"/>
      <c r="L279" s="1634"/>
    </row>
    <row r="280" spans="1:12">
      <c r="A280" s="242"/>
      <c r="B280" s="1578" t="s">
        <v>2930</v>
      </c>
      <c r="C280" s="1634"/>
      <c r="D280" s="317">
        <v>203097</v>
      </c>
      <c r="E280" s="1634"/>
      <c r="F280" s="736">
        <v>194134</v>
      </c>
      <c r="G280" s="736"/>
      <c r="H280" s="736"/>
      <c r="I280" s="736"/>
      <c r="J280" s="1633"/>
      <c r="K280" s="1634"/>
      <c r="L280" s="1634"/>
    </row>
    <row r="281" spans="1:12">
      <c r="A281" s="242"/>
      <c r="B281" s="1578" t="s">
        <v>2931</v>
      </c>
      <c r="C281" s="1634"/>
      <c r="D281" s="317">
        <v>25891</v>
      </c>
      <c r="E281" s="1634"/>
      <c r="F281" s="736">
        <v>237133</v>
      </c>
      <c r="G281" s="736"/>
      <c r="H281" s="736"/>
      <c r="I281" s="736"/>
      <c r="J281" s="1633"/>
      <c r="K281" s="1634"/>
      <c r="L281" s="1634"/>
    </row>
    <row r="282" spans="1:12">
      <c r="A282" s="242"/>
      <c r="B282" s="1637" t="s">
        <v>2932</v>
      </c>
      <c r="C282" s="1634"/>
      <c r="D282" s="317">
        <v>-62124</v>
      </c>
      <c r="E282" s="1634"/>
      <c r="F282" s="736">
        <v>-56208</v>
      </c>
      <c r="G282" s="736"/>
      <c r="H282" s="736"/>
      <c r="I282" s="736"/>
      <c r="J282" s="1633"/>
      <c r="K282" s="1634"/>
      <c r="L282" s="1634"/>
    </row>
    <row r="283" spans="1:12">
      <c r="A283" s="242"/>
      <c r="B283" s="1578" t="s">
        <v>2933</v>
      </c>
      <c r="C283" s="1634"/>
      <c r="D283" s="317">
        <v>399894</v>
      </c>
      <c r="E283" s="1634"/>
      <c r="F283" s="736">
        <v>375059</v>
      </c>
      <c r="G283" s="736"/>
      <c r="H283" s="736"/>
      <c r="I283" s="736"/>
      <c r="J283" s="1633"/>
      <c r="K283" s="1634"/>
      <c r="L283" s="1634"/>
    </row>
    <row r="284" spans="1:12">
      <c r="A284" s="242"/>
      <c r="B284" s="1637" t="s">
        <v>2934</v>
      </c>
      <c r="C284" s="1634"/>
      <c r="D284" s="317"/>
      <c r="E284" s="1634"/>
      <c r="F284" s="736">
        <v>-213170</v>
      </c>
      <c r="G284" s="736"/>
      <c r="H284" s="736"/>
      <c r="I284" s="736"/>
      <c r="J284" s="1633"/>
      <c r="K284" s="1634"/>
      <c r="L284" s="1634"/>
    </row>
    <row r="285" spans="1:12" ht="13.5" thickBot="1">
      <c r="A285" s="242"/>
      <c r="B285" s="1579"/>
      <c r="C285" s="1197"/>
      <c r="D285" s="1638">
        <f>D279+D283+D284</f>
        <v>3243222</v>
      </c>
      <c r="E285" s="1197"/>
      <c r="F285" s="1638">
        <f>F279+F283+F284</f>
        <v>2843328</v>
      </c>
      <c r="G285" s="736"/>
      <c r="H285" s="736"/>
      <c r="I285" s="736"/>
      <c r="J285" s="1200"/>
    </row>
    <row r="286" spans="1:12" ht="13.5" thickTop="1">
      <c r="A286" s="242"/>
      <c r="B286" s="1579"/>
      <c r="C286" s="1634"/>
      <c r="D286" s="736"/>
      <c r="E286" s="1634"/>
      <c r="F286" s="736"/>
      <c r="G286" s="736"/>
      <c r="H286" s="736"/>
      <c r="I286" s="736"/>
      <c r="J286" s="1633"/>
      <c r="K286" s="1634"/>
      <c r="L286" s="1634"/>
    </row>
    <row r="287" spans="1:12" ht="25.5">
      <c r="A287" s="242"/>
      <c r="B287" s="1579" t="s">
        <v>2935</v>
      </c>
      <c r="C287" s="1197"/>
      <c r="D287" s="317"/>
      <c r="E287" s="1197"/>
      <c r="F287" s="736"/>
      <c r="G287" s="736"/>
      <c r="H287" s="736"/>
      <c r="I287" s="736"/>
      <c r="J287" s="1200"/>
    </row>
    <row r="288" spans="1:12" ht="51">
      <c r="A288" s="242"/>
      <c r="B288" s="1635" t="s">
        <v>2936</v>
      </c>
      <c r="C288" s="1197"/>
      <c r="D288" s="317"/>
      <c r="E288" s="1197"/>
      <c r="F288" s="736"/>
      <c r="G288" s="736"/>
      <c r="H288" s="736"/>
      <c r="I288" s="736"/>
      <c r="J288" s="1200"/>
    </row>
    <row r="289" spans="1:10" ht="38.25">
      <c r="A289" s="242"/>
      <c r="B289" s="1635" t="s">
        <v>2937</v>
      </c>
      <c r="C289" s="1197"/>
      <c r="D289" s="317"/>
      <c r="E289" s="1197"/>
      <c r="F289" s="736"/>
      <c r="G289" s="736"/>
      <c r="H289" s="736"/>
      <c r="I289" s="736"/>
      <c r="J289" s="1200"/>
    </row>
    <row r="290" spans="1:10">
      <c r="A290" s="242"/>
      <c r="B290" s="1197"/>
      <c r="C290" s="1197"/>
      <c r="D290" s="317"/>
      <c r="E290" s="1197"/>
      <c r="F290" s="736"/>
      <c r="G290" s="736"/>
      <c r="H290" s="736"/>
      <c r="I290" s="736"/>
      <c r="J290" s="1200"/>
    </row>
    <row r="291" spans="1:10">
      <c r="A291" s="242"/>
      <c r="B291" s="1197"/>
      <c r="C291" s="1197"/>
      <c r="D291" s="317"/>
      <c r="E291" s="1197"/>
      <c r="F291" s="736"/>
      <c r="G291" s="736"/>
      <c r="H291" s="736"/>
      <c r="I291" s="736"/>
      <c r="J291" s="1200"/>
    </row>
    <row r="292" spans="1:10">
      <c r="A292" s="242"/>
      <c r="B292" s="1197"/>
      <c r="C292" s="1197"/>
      <c r="D292" s="317"/>
      <c r="E292" s="1197"/>
      <c r="F292" s="736"/>
      <c r="G292" s="736"/>
      <c r="H292" s="736"/>
      <c r="I292" s="736"/>
      <c r="J292" s="1200"/>
    </row>
    <row r="293" spans="1:10">
      <c r="A293" s="242"/>
      <c r="B293" s="1197"/>
      <c r="C293" s="1197"/>
      <c r="D293" s="317"/>
      <c r="E293" s="1197"/>
      <c r="F293" s="736"/>
      <c r="G293" s="736"/>
      <c r="H293" s="736"/>
      <c r="I293" s="736"/>
      <c r="J293" s="1200"/>
    </row>
    <row r="294" spans="1:10">
      <c r="A294" s="242"/>
      <c r="B294" s="1197"/>
      <c r="C294" s="1197"/>
      <c r="D294" s="317"/>
      <c r="E294" s="1197"/>
      <c r="F294" s="736"/>
      <c r="G294" s="736"/>
      <c r="H294" s="736"/>
      <c r="I294" s="736"/>
      <c r="J294" s="1200"/>
    </row>
    <row r="295" spans="1:10">
      <c r="A295" s="242"/>
      <c r="B295" s="1197"/>
      <c r="C295" s="1197"/>
      <c r="D295" s="317"/>
      <c r="E295" s="1197"/>
      <c r="F295" s="736"/>
      <c r="G295" s="736"/>
      <c r="H295" s="736"/>
      <c r="I295" s="736"/>
      <c r="J295" s="1200"/>
    </row>
    <row r="296" spans="1:10">
      <c r="A296" s="242"/>
      <c r="B296" s="1197"/>
      <c r="C296" s="1197"/>
      <c r="D296" s="317"/>
      <c r="E296" s="1197"/>
      <c r="F296" s="736"/>
      <c r="G296" s="736"/>
      <c r="H296" s="736"/>
      <c r="I296" s="736"/>
      <c r="J296" s="1200"/>
    </row>
    <row r="297" spans="1:10">
      <c r="A297" s="242"/>
      <c r="B297" s="1197"/>
      <c r="C297" s="1197"/>
      <c r="D297" s="317"/>
      <c r="E297" s="1197"/>
      <c r="F297" s="736"/>
      <c r="G297" s="736"/>
      <c r="H297" s="736"/>
      <c r="I297" s="736"/>
      <c r="J297" s="1200"/>
    </row>
    <row r="298" spans="1:10">
      <c r="A298" s="242"/>
      <c r="B298" s="1197"/>
      <c r="C298" s="1197"/>
      <c r="D298" s="317"/>
      <c r="E298" s="1197"/>
      <c r="F298" s="736"/>
      <c r="G298" s="736"/>
      <c r="H298" s="736"/>
      <c r="I298" s="736"/>
      <c r="J298" s="1200"/>
    </row>
    <row r="299" spans="1:10">
      <c r="A299" s="242"/>
      <c r="B299" s="1197"/>
      <c r="C299" s="1197"/>
      <c r="D299" s="317"/>
      <c r="E299" s="1197"/>
      <c r="F299" s="736"/>
      <c r="G299" s="736"/>
      <c r="H299" s="736"/>
      <c r="I299" s="736"/>
      <c r="J299" s="1200"/>
    </row>
    <row r="300" spans="1:10">
      <c r="A300" s="242"/>
      <c r="B300" s="1197"/>
      <c r="C300" s="1197"/>
      <c r="D300" s="317"/>
      <c r="E300" s="1197"/>
      <c r="F300" s="736"/>
      <c r="G300" s="736"/>
      <c r="H300" s="736"/>
      <c r="I300" s="736"/>
      <c r="J300" s="1200"/>
    </row>
    <row r="301" spans="1:10">
      <c r="A301" s="242"/>
      <c r="B301" s="1197"/>
      <c r="C301" s="1197"/>
      <c r="D301" s="317"/>
      <c r="E301" s="1197"/>
      <c r="F301" s="736"/>
      <c r="G301" s="736"/>
      <c r="H301" s="736"/>
      <c r="I301" s="736"/>
      <c r="J301" s="1200"/>
    </row>
    <row r="302" spans="1:10">
      <c r="A302" s="242"/>
      <c r="B302" s="1197"/>
      <c r="C302" s="1197"/>
      <c r="D302" s="317"/>
      <c r="E302" s="1197"/>
      <c r="F302" s="736"/>
      <c r="G302" s="736"/>
      <c r="H302" s="736"/>
      <c r="I302" s="736"/>
      <c r="J302" s="1200"/>
    </row>
    <row r="303" spans="1:10">
      <c r="A303" s="242"/>
      <c r="B303" s="1197"/>
      <c r="C303" s="1197"/>
      <c r="D303" s="317"/>
      <c r="E303" s="1197"/>
      <c r="F303" s="736"/>
      <c r="G303" s="736"/>
      <c r="H303" s="736"/>
      <c r="I303" s="736"/>
      <c r="J303" s="1200"/>
    </row>
    <row r="304" spans="1:10">
      <c r="A304" s="242"/>
      <c r="B304" s="1197"/>
      <c r="C304" s="1197"/>
      <c r="D304" s="317"/>
      <c r="E304" s="1197"/>
      <c r="F304" s="736"/>
      <c r="G304" s="736"/>
      <c r="H304" s="736"/>
      <c r="I304" s="736"/>
      <c r="J304" s="1200"/>
    </row>
    <row r="305" spans="1:10">
      <c r="A305" s="242"/>
      <c r="B305" s="1197"/>
      <c r="C305" s="1197"/>
      <c r="D305" s="317"/>
      <c r="E305" s="1197"/>
      <c r="F305" s="736"/>
      <c r="G305" s="736"/>
      <c r="H305" s="736"/>
      <c r="I305" s="736"/>
      <c r="J305" s="1200"/>
    </row>
    <row r="306" spans="1:10">
      <c r="A306" s="242"/>
      <c r="B306" s="1197"/>
      <c r="C306" s="1197"/>
      <c r="D306" s="317"/>
      <c r="E306" s="1197"/>
      <c r="F306" s="736"/>
      <c r="G306" s="736"/>
      <c r="H306" s="736"/>
      <c r="I306" s="736"/>
      <c r="J306" s="1200"/>
    </row>
    <row r="307" spans="1:10">
      <c r="A307" s="242"/>
      <c r="B307" s="1197"/>
      <c r="C307" s="1197"/>
      <c r="D307" s="317"/>
      <c r="E307" s="1197"/>
      <c r="F307" s="736"/>
      <c r="G307" s="736"/>
      <c r="H307" s="736"/>
      <c r="I307" s="736"/>
      <c r="J307" s="1200"/>
    </row>
    <row r="308" spans="1:10">
      <c r="A308" s="242"/>
      <c r="B308" s="1197"/>
      <c r="C308" s="1197"/>
      <c r="D308" s="317"/>
      <c r="E308" s="1197"/>
      <c r="F308" s="736"/>
      <c r="G308" s="736"/>
      <c r="H308" s="736"/>
      <c r="I308" s="736"/>
      <c r="J308" s="1200"/>
    </row>
    <row r="309" spans="1:10">
      <c r="A309" s="242"/>
      <c r="B309" s="1197"/>
      <c r="C309" s="1197"/>
      <c r="D309" s="317"/>
      <c r="E309" s="1197"/>
      <c r="F309" s="736"/>
      <c r="G309" s="736"/>
      <c r="H309" s="736"/>
      <c r="I309" s="736"/>
      <c r="J309" s="1200"/>
    </row>
    <row r="310" spans="1:10">
      <c r="A310" s="242"/>
      <c r="B310" s="1197"/>
      <c r="C310" s="1197"/>
      <c r="D310" s="317"/>
      <c r="E310" s="1197"/>
      <c r="F310" s="736"/>
      <c r="G310" s="736"/>
      <c r="H310" s="736"/>
      <c r="I310" s="736"/>
      <c r="J310" s="1200"/>
    </row>
    <row r="311" spans="1:10">
      <c r="A311" s="242"/>
      <c r="B311" s="1197"/>
      <c r="C311" s="1197"/>
      <c r="D311" s="317"/>
      <c r="E311" s="1197"/>
      <c r="F311" s="736"/>
      <c r="G311" s="736"/>
      <c r="H311" s="736"/>
      <c r="I311" s="736"/>
      <c r="J311" s="1200"/>
    </row>
    <row r="312" spans="1:10">
      <c r="A312" s="242"/>
      <c r="B312" s="1197"/>
      <c r="C312" s="1197"/>
      <c r="D312" s="317"/>
      <c r="E312" s="1197"/>
      <c r="F312" s="736"/>
      <c r="G312" s="736"/>
      <c r="H312" s="736"/>
      <c r="I312" s="736"/>
      <c r="J312" s="1200"/>
    </row>
    <row r="313" spans="1:10">
      <c r="A313" s="242"/>
      <c r="B313" s="1197"/>
      <c r="C313" s="1197"/>
      <c r="D313" s="317"/>
      <c r="E313" s="1197"/>
      <c r="F313" s="736"/>
      <c r="G313" s="736"/>
      <c r="H313" s="736"/>
      <c r="I313" s="736"/>
      <c r="J313" s="1200"/>
    </row>
    <row r="314" spans="1:10">
      <c r="A314" s="242"/>
      <c r="B314" s="1197"/>
      <c r="C314" s="1197"/>
      <c r="D314" s="317"/>
      <c r="E314" s="1197"/>
      <c r="F314" s="736"/>
      <c r="G314" s="736"/>
      <c r="H314" s="736"/>
      <c r="I314" s="736"/>
      <c r="J314" s="1200"/>
    </row>
    <row r="315" spans="1:10">
      <c r="A315" s="242"/>
      <c r="B315" s="1197"/>
      <c r="C315" s="1197"/>
      <c r="D315" s="317"/>
      <c r="E315" s="1197"/>
      <c r="F315" s="736"/>
      <c r="G315" s="736"/>
      <c r="H315" s="736"/>
      <c r="I315" s="736"/>
      <c r="J315" s="1200"/>
    </row>
    <row r="316" spans="1:10">
      <c r="A316" s="242"/>
      <c r="B316" s="1197"/>
      <c r="C316" s="1197"/>
      <c r="D316" s="317"/>
      <c r="E316" s="1197"/>
      <c r="F316" s="736"/>
      <c r="G316" s="736"/>
      <c r="H316" s="736"/>
      <c r="I316" s="736"/>
      <c r="J316" s="1200"/>
    </row>
    <row r="317" spans="1:10">
      <c r="A317" s="242"/>
      <c r="B317" s="1197"/>
      <c r="C317" s="1197"/>
      <c r="D317" s="317"/>
      <c r="E317" s="1197"/>
      <c r="F317" s="736"/>
      <c r="G317" s="736"/>
      <c r="H317" s="736"/>
      <c r="I317" s="736"/>
      <c r="J317" s="1200"/>
    </row>
    <row r="318" spans="1:10">
      <c r="A318" s="242"/>
      <c r="B318" s="1197"/>
      <c r="C318" s="1197"/>
      <c r="D318" s="317"/>
      <c r="E318" s="1197"/>
      <c r="F318" s="736"/>
      <c r="G318" s="736"/>
      <c r="H318" s="736"/>
      <c r="I318" s="736"/>
      <c r="J318" s="1200"/>
    </row>
    <row r="319" spans="1:10">
      <c r="A319" s="242"/>
      <c r="B319" s="1197"/>
      <c r="C319" s="1197"/>
      <c r="D319" s="317"/>
      <c r="E319" s="1197"/>
      <c r="F319" s="736"/>
      <c r="G319" s="736"/>
      <c r="H319" s="736"/>
      <c r="I319" s="736"/>
      <c r="J319" s="1200"/>
    </row>
    <row r="320" spans="1:10">
      <c r="A320" s="242"/>
      <c r="B320" s="1197"/>
      <c r="C320" s="1197"/>
      <c r="D320" s="317"/>
      <c r="E320" s="1197"/>
      <c r="F320" s="736"/>
      <c r="G320" s="736"/>
      <c r="H320" s="736"/>
      <c r="I320" s="736"/>
      <c r="J320" s="1200"/>
    </row>
    <row r="321" spans="1:10">
      <c r="A321" s="242"/>
      <c r="B321" s="1197"/>
      <c r="C321" s="1197"/>
      <c r="D321" s="317"/>
      <c r="E321" s="1197"/>
      <c r="F321" s="736"/>
      <c r="G321" s="736"/>
      <c r="H321" s="736"/>
      <c r="I321" s="736"/>
      <c r="J321" s="1200"/>
    </row>
    <row r="322" spans="1:10">
      <c r="A322" s="242"/>
      <c r="B322" s="1197"/>
      <c r="C322" s="1197"/>
      <c r="D322" s="317"/>
      <c r="E322" s="1197"/>
      <c r="F322" s="736"/>
      <c r="G322" s="736"/>
      <c r="H322" s="736"/>
      <c r="I322" s="736"/>
      <c r="J322" s="1200"/>
    </row>
    <row r="323" spans="1:10">
      <c r="A323" s="242"/>
      <c r="B323" s="1197"/>
      <c r="C323" s="1197"/>
      <c r="D323" s="317"/>
      <c r="E323" s="1197"/>
      <c r="F323" s="736"/>
      <c r="G323" s="736"/>
      <c r="H323" s="736"/>
      <c r="I323" s="736"/>
      <c r="J323" s="1200"/>
    </row>
    <row r="324" spans="1:10">
      <c r="A324" s="242"/>
      <c r="B324" s="1197"/>
      <c r="C324" s="1197"/>
      <c r="D324" s="317"/>
      <c r="E324" s="1197"/>
      <c r="F324" s="736"/>
      <c r="G324" s="736"/>
      <c r="H324" s="736"/>
      <c r="I324" s="736"/>
      <c r="J324" s="1200"/>
    </row>
    <row r="325" spans="1:10">
      <c r="A325" s="242"/>
      <c r="B325" s="1197"/>
      <c r="C325" s="1197"/>
      <c r="D325" s="317"/>
      <c r="E325" s="1197"/>
      <c r="F325" s="736"/>
      <c r="G325" s="736"/>
      <c r="H325" s="736"/>
      <c r="I325" s="736"/>
      <c r="J325" s="1200"/>
    </row>
    <row r="326" spans="1:10">
      <c r="A326" s="242"/>
      <c r="B326" s="1197"/>
      <c r="C326" s="1197"/>
      <c r="D326" s="317"/>
      <c r="E326" s="1197"/>
      <c r="F326" s="736"/>
      <c r="G326" s="736"/>
      <c r="H326" s="736"/>
      <c r="I326" s="736"/>
      <c r="J326" s="1200"/>
    </row>
    <row r="327" spans="1:10">
      <c r="A327" s="242"/>
      <c r="B327" s="1197"/>
      <c r="C327" s="1197"/>
      <c r="D327" s="317"/>
      <c r="E327" s="1197"/>
      <c r="F327" s="736"/>
      <c r="G327" s="736"/>
      <c r="H327" s="736"/>
      <c r="I327" s="736"/>
      <c r="J327" s="1200"/>
    </row>
    <row r="328" spans="1:10">
      <c r="A328" s="242"/>
      <c r="B328" s="1197"/>
      <c r="C328" s="1197"/>
      <c r="D328" s="317"/>
      <c r="E328" s="1197"/>
      <c r="F328" s="736"/>
      <c r="G328" s="736"/>
      <c r="H328" s="736"/>
      <c r="I328" s="736"/>
      <c r="J328" s="1200"/>
    </row>
    <row r="329" spans="1:10">
      <c r="A329" s="242"/>
      <c r="B329" s="1197"/>
      <c r="C329" s="1197"/>
      <c r="D329" s="317"/>
      <c r="E329" s="1197"/>
      <c r="F329" s="736"/>
      <c r="G329" s="736"/>
      <c r="H329" s="736"/>
      <c r="I329" s="736"/>
      <c r="J329" s="1200"/>
    </row>
    <row r="330" spans="1:10">
      <c r="A330" s="242"/>
      <c r="B330" s="1197"/>
      <c r="C330" s="1197"/>
      <c r="D330" s="317"/>
      <c r="E330" s="1197"/>
      <c r="F330" s="736"/>
      <c r="G330" s="736"/>
      <c r="H330" s="736"/>
      <c r="I330" s="736"/>
      <c r="J330" s="1200"/>
    </row>
    <row r="331" spans="1:10">
      <c r="A331" s="242"/>
      <c r="B331" s="1197"/>
      <c r="C331" s="1197"/>
      <c r="D331" s="317"/>
      <c r="E331" s="1197"/>
      <c r="F331" s="736"/>
      <c r="G331" s="736"/>
      <c r="H331" s="736"/>
      <c r="I331" s="736"/>
      <c r="J331" s="1200"/>
    </row>
    <row r="332" spans="1:10">
      <c r="A332" s="242"/>
      <c r="B332" s="1197"/>
      <c r="C332" s="1197"/>
      <c r="D332" s="317"/>
      <c r="E332" s="1197"/>
      <c r="F332" s="736"/>
      <c r="G332" s="736"/>
      <c r="H332" s="736"/>
      <c r="I332" s="736"/>
      <c r="J332" s="1200"/>
    </row>
    <row r="333" spans="1:10">
      <c r="A333" s="242"/>
      <c r="B333" s="1197"/>
      <c r="C333" s="1197"/>
      <c r="D333" s="317"/>
      <c r="E333" s="1197"/>
      <c r="F333" s="736"/>
      <c r="G333" s="736"/>
      <c r="H333" s="736"/>
      <c r="I333" s="736"/>
      <c r="J333" s="1200"/>
    </row>
    <row r="334" spans="1:10">
      <c r="A334" s="242"/>
      <c r="B334" s="1197"/>
      <c r="C334" s="1197"/>
      <c r="D334" s="317"/>
      <c r="E334" s="1197"/>
      <c r="F334" s="736"/>
      <c r="G334" s="736"/>
      <c r="H334" s="736"/>
      <c r="I334" s="736"/>
      <c r="J334" s="1200"/>
    </row>
    <row r="335" spans="1:10">
      <c r="A335" s="242"/>
      <c r="B335" s="1197"/>
      <c r="C335" s="1197"/>
      <c r="D335" s="317"/>
      <c r="E335" s="1197"/>
      <c r="F335" s="736"/>
      <c r="G335" s="736"/>
      <c r="H335" s="736"/>
      <c r="I335" s="736"/>
      <c r="J335" s="1200"/>
    </row>
    <row r="336" spans="1:10">
      <c r="A336" s="242"/>
      <c r="B336" s="1197"/>
      <c r="C336" s="1197"/>
      <c r="D336" s="317"/>
      <c r="E336" s="1197"/>
      <c r="F336" s="736"/>
      <c r="G336" s="736"/>
      <c r="H336" s="736"/>
      <c r="I336" s="736"/>
      <c r="J336" s="1200"/>
    </row>
    <row r="337" spans="1:10">
      <c r="A337" s="242"/>
      <c r="B337" s="1197"/>
      <c r="C337" s="1197"/>
      <c r="D337" s="317"/>
      <c r="E337" s="1197"/>
      <c r="F337" s="736"/>
      <c r="G337" s="736"/>
      <c r="H337" s="736"/>
      <c r="I337" s="736"/>
      <c r="J337" s="1200"/>
    </row>
    <row r="338" spans="1:10">
      <c r="A338" s="242"/>
      <c r="B338" s="1197"/>
      <c r="C338" s="1197"/>
      <c r="D338" s="317"/>
      <c r="E338" s="1197"/>
      <c r="F338" s="736"/>
      <c r="G338" s="736"/>
      <c r="H338" s="736"/>
      <c r="I338" s="736"/>
      <c r="J338" s="1200"/>
    </row>
    <row r="339" spans="1:10">
      <c r="A339" s="242"/>
      <c r="B339" s="1197"/>
      <c r="C339" s="1197"/>
      <c r="D339" s="317"/>
      <c r="E339" s="1197"/>
      <c r="F339" s="736"/>
      <c r="G339" s="736"/>
      <c r="H339" s="736"/>
      <c r="I339" s="736"/>
      <c r="J339" s="1200"/>
    </row>
    <row r="340" spans="1:10">
      <c r="A340" s="242"/>
      <c r="B340" s="1197"/>
      <c r="C340" s="1197"/>
      <c r="D340" s="317"/>
      <c r="E340" s="1197"/>
      <c r="F340" s="736"/>
      <c r="G340" s="736"/>
      <c r="H340" s="736"/>
      <c r="I340" s="736"/>
      <c r="J340" s="1200"/>
    </row>
    <row r="341" spans="1:10">
      <c r="A341" s="242"/>
      <c r="B341" s="1197"/>
      <c r="C341" s="1197"/>
      <c r="D341" s="317"/>
      <c r="E341" s="1197"/>
      <c r="F341" s="736"/>
      <c r="G341" s="736"/>
      <c r="H341" s="736"/>
      <c r="I341" s="736"/>
      <c r="J341" s="1200"/>
    </row>
    <row r="342" spans="1:10">
      <c r="A342" s="242"/>
      <c r="B342" s="1197"/>
      <c r="C342" s="1197"/>
      <c r="D342" s="317"/>
      <c r="E342" s="1197"/>
      <c r="F342" s="736"/>
      <c r="G342" s="736"/>
      <c r="H342" s="736"/>
      <c r="I342" s="736"/>
      <c r="J342" s="1200"/>
    </row>
    <row r="343" spans="1:10">
      <c r="A343" s="242"/>
      <c r="B343" s="1197"/>
      <c r="C343" s="1197"/>
      <c r="D343" s="317"/>
      <c r="E343" s="1197"/>
      <c r="F343" s="736"/>
      <c r="G343" s="736"/>
      <c r="H343" s="736"/>
      <c r="I343" s="736"/>
      <c r="J343" s="1200"/>
    </row>
    <row r="344" spans="1:10">
      <c r="A344" s="242"/>
      <c r="B344" s="1197"/>
      <c r="C344" s="1197"/>
      <c r="D344" s="317"/>
      <c r="E344" s="1197"/>
      <c r="F344" s="736"/>
      <c r="G344" s="736"/>
      <c r="H344" s="736"/>
      <c r="I344" s="736"/>
      <c r="J344" s="1200"/>
    </row>
    <row r="345" spans="1:10">
      <c r="A345" s="242"/>
      <c r="B345" s="1197"/>
      <c r="C345" s="1197"/>
      <c r="D345" s="317"/>
      <c r="E345" s="1197"/>
      <c r="F345" s="736"/>
      <c r="G345" s="736"/>
      <c r="H345" s="736"/>
      <c r="I345" s="736"/>
      <c r="J345" s="1200"/>
    </row>
    <row r="346" spans="1:10">
      <c r="A346" s="242"/>
      <c r="B346" s="1197"/>
      <c r="C346" s="1197"/>
      <c r="D346" s="317"/>
      <c r="E346" s="1197"/>
      <c r="F346" s="736"/>
      <c r="G346" s="736"/>
      <c r="H346" s="736"/>
      <c r="I346" s="736"/>
      <c r="J346" s="1200"/>
    </row>
    <row r="347" spans="1:10">
      <c r="A347" s="242"/>
      <c r="B347" s="1197"/>
      <c r="C347" s="1197"/>
      <c r="D347" s="317"/>
      <c r="E347" s="1197"/>
      <c r="F347" s="736"/>
      <c r="G347" s="736"/>
      <c r="H347" s="736"/>
      <c r="I347" s="736"/>
      <c r="J347" s="1200"/>
    </row>
    <row r="348" spans="1:10">
      <c r="A348" s="242"/>
      <c r="B348" s="1197"/>
      <c r="C348" s="1197"/>
      <c r="D348" s="317"/>
      <c r="E348" s="1197"/>
      <c r="F348" s="736"/>
      <c r="G348" s="736"/>
      <c r="H348" s="736"/>
      <c r="I348" s="736"/>
      <c r="J348" s="1200"/>
    </row>
    <row r="349" spans="1:10">
      <c r="A349" s="242"/>
      <c r="B349" s="1197"/>
      <c r="C349" s="1197"/>
      <c r="D349" s="317"/>
      <c r="E349" s="1197"/>
      <c r="F349" s="736"/>
      <c r="G349" s="736"/>
      <c r="H349" s="736"/>
      <c r="I349" s="736"/>
      <c r="J349" s="1200"/>
    </row>
    <row r="350" spans="1:10">
      <c r="A350" s="242"/>
      <c r="B350" s="1197"/>
      <c r="C350" s="1197"/>
      <c r="D350" s="317"/>
      <c r="E350" s="1197"/>
      <c r="F350" s="736"/>
      <c r="G350" s="736"/>
      <c r="H350" s="736"/>
      <c r="I350" s="736"/>
      <c r="J350" s="1200"/>
    </row>
    <row r="351" spans="1:10">
      <c r="A351" s="242"/>
      <c r="B351" s="1197"/>
      <c r="C351" s="1197"/>
      <c r="D351" s="317"/>
      <c r="E351" s="1197"/>
      <c r="F351" s="736"/>
      <c r="G351" s="736"/>
      <c r="H351" s="736"/>
      <c r="I351" s="736"/>
      <c r="J351" s="1200"/>
    </row>
    <row r="352" spans="1:10">
      <c r="A352" s="242"/>
      <c r="B352" s="1197"/>
      <c r="C352" s="1197"/>
      <c r="D352" s="317"/>
      <c r="E352" s="1197"/>
      <c r="F352" s="736"/>
      <c r="G352" s="736"/>
      <c r="H352" s="736"/>
      <c r="I352" s="736"/>
      <c r="J352" s="1200"/>
    </row>
    <row r="353" spans="1:10">
      <c r="A353" s="242"/>
      <c r="B353" s="1197"/>
      <c r="C353" s="1197"/>
      <c r="D353" s="317"/>
      <c r="E353" s="1197"/>
      <c r="F353" s="736"/>
      <c r="G353" s="736"/>
      <c r="H353" s="736"/>
      <c r="I353" s="736"/>
      <c r="J353" s="1200"/>
    </row>
    <row r="354" spans="1:10">
      <c r="A354" s="242"/>
      <c r="B354" s="1197"/>
      <c r="C354" s="1197"/>
      <c r="D354" s="317"/>
      <c r="E354" s="1197"/>
      <c r="F354" s="736"/>
      <c r="G354" s="736"/>
      <c r="H354" s="736"/>
      <c r="I354" s="736"/>
      <c r="J354" s="1200"/>
    </row>
    <row r="355" spans="1:10">
      <c r="A355" s="242"/>
      <c r="B355" s="1197"/>
      <c r="C355" s="1197"/>
      <c r="D355" s="317"/>
      <c r="E355" s="1197"/>
      <c r="F355" s="736"/>
      <c r="G355" s="736"/>
      <c r="H355" s="736"/>
      <c r="I355" s="736"/>
      <c r="J355" s="1200"/>
    </row>
    <row r="356" spans="1:10">
      <c r="A356" s="242"/>
      <c r="B356" s="1197"/>
      <c r="C356" s="1197"/>
      <c r="D356" s="317"/>
      <c r="E356" s="1197"/>
      <c r="F356" s="736"/>
      <c r="G356" s="736"/>
      <c r="H356" s="736"/>
      <c r="I356" s="736"/>
      <c r="J356" s="1200"/>
    </row>
    <row r="357" spans="1:10">
      <c r="A357" s="242"/>
      <c r="B357" s="1197"/>
      <c r="C357" s="1197"/>
      <c r="D357" s="317"/>
      <c r="E357" s="1197"/>
      <c r="F357" s="736"/>
      <c r="G357" s="736"/>
      <c r="H357" s="736"/>
      <c r="I357" s="736"/>
      <c r="J357" s="1200"/>
    </row>
    <row r="358" spans="1:10">
      <c r="A358" s="242"/>
      <c r="B358" s="1197"/>
      <c r="C358" s="1197"/>
      <c r="D358" s="317"/>
      <c r="E358" s="1197"/>
      <c r="F358" s="736"/>
      <c r="G358" s="736"/>
      <c r="H358" s="736"/>
      <c r="I358" s="736"/>
      <c r="J358" s="1200"/>
    </row>
    <row r="359" spans="1:10">
      <c r="A359" s="242"/>
      <c r="B359" s="1197"/>
      <c r="C359" s="1197"/>
      <c r="D359" s="317"/>
      <c r="E359" s="1197"/>
      <c r="F359" s="736"/>
      <c r="G359" s="736"/>
      <c r="H359" s="736"/>
      <c r="I359" s="736"/>
      <c r="J359" s="1200"/>
    </row>
    <row r="360" spans="1:10">
      <c r="A360" s="242"/>
      <c r="B360" s="1197"/>
      <c r="C360" s="1197"/>
      <c r="D360" s="317"/>
      <c r="E360" s="1197"/>
      <c r="F360" s="736"/>
      <c r="G360" s="736"/>
      <c r="H360" s="736"/>
      <c r="I360" s="736"/>
      <c r="J360" s="1200"/>
    </row>
    <row r="361" spans="1:10">
      <c r="A361" s="242"/>
      <c r="B361" s="1197"/>
      <c r="C361" s="1197"/>
      <c r="D361" s="317"/>
      <c r="E361" s="1197"/>
      <c r="F361" s="736"/>
      <c r="G361" s="736"/>
      <c r="H361" s="736"/>
      <c r="I361" s="736"/>
      <c r="J361" s="1200"/>
    </row>
    <row r="362" spans="1:10">
      <c r="A362" s="242"/>
      <c r="B362" s="1197"/>
      <c r="C362" s="1197"/>
      <c r="D362" s="317"/>
      <c r="E362" s="1197"/>
      <c r="F362" s="736"/>
      <c r="G362" s="736"/>
      <c r="H362" s="736"/>
      <c r="I362" s="736"/>
      <c r="J362" s="1200"/>
    </row>
    <row r="363" spans="1:10">
      <c r="A363" s="242"/>
      <c r="B363" s="1197"/>
      <c r="C363" s="1197"/>
      <c r="D363" s="317"/>
      <c r="E363" s="1197"/>
      <c r="F363" s="736"/>
      <c r="G363" s="736"/>
      <c r="H363" s="736"/>
      <c r="I363" s="736"/>
      <c r="J363" s="1200"/>
    </row>
    <row r="364" spans="1:10">
      <c r="A364" s="242"/>
      <c r="B364" s="1197"/>
      <c r="C364" s="1197"/>
      <c r="D364" s="317"/>
      <c r="E364" s="1197"/>
      <c r="F364" s="736"/>
      <c r="G364" s="736"/>
      <c r="H364" s="736"/>
      <c r="I364" s="736"/>
      <c r="J364" s="1200"/>
    </row>
    <row r="365" spans="1:10">
      <c r="A365" s="242"/>
      <c r="B365" s="1197"/>
      <c r="C365" s="1197"/>
      <c r="D365" s="317"/>
      <c r="E365" s="1197"/>
      <c r="F365" s="736"/>
      <c r="G365" s="736"/>
      <c r="H365" s="736"/>
      <c r="I365" s="736"/>
      <c r="J365" s="1200"/>
    </row>
    <row r="366" spans="1:10">
      <c r="A366" s="242"/>
      <c r="B366" s="1197"/>
      <c r="C366" s="1197"/>
      <c r="D366" s="317"/>
      <c r="E366" s="1197"/>
      <c r="F366" s="736"/>
      <c r="G366" s="736"/>
      <c r="H366" s="736"/>
      <c r="I366" s="736"/>
      <c r="J366" s="1200"/>
    </row>
    <row r="367" spans="1:10">
      <c r="A367" s="242"/>
      <c r="B367" s="1197"/>
      <c r="C367" s="1197"/>
      <c r="D367" s="317"/>
      <c r="E367" s="1197"/>
      <c r="F367" s="736"/>
      <c r="G367" s="736"/>
      <c r="H367" s="736"/>
      <c r="I367" s="736"/>
      <c r="J367" s="1200"/>
    </row>
    <row r="368" spans="1:10">
      <c r="A368" s="242"/>
      <c r="B368" s="1197"/>
      <c r="C368" s="1197"/>
      <c r="D368" s="317"/>
      <c r="E368" s="1197"/>
      <c r="F368" s="736"/>
      <c r="G368" s="736"/>
      <c r="H368" s="736"/>
      <c r="I368" s="736"/>
      <c r="J368" s="1200"/>
    </row>
    <row r="369" spans="1:10">
      <c r="A369" s="242"/>
      <c r="B369" s="1197"/>
      <c r="C369" s="1197"/>
      <c r="D369" s="317"/>
      <c r="E369" s="1197"/>
      <c r="F369" s="736"/>
      <c r="G369" s="736"/>
      <c r="H369" s="736"/>
      <c r="I369" s="736"/>
      <c r="J369" s="1200"/>
    </row>
    <row r="370" spans="1:10">
      <c r="A370" s="242"/>
      <c r="B370" s="1197"/>
      <c r="C370" s="1197"/>
      <c r="D370" s="317"/>
      <c r="E370" s="1197"/>
      <c r="F370" s="736"/>
      <c r="G370" s="736"/>
      <c r="H370" s="736"/>
      <c r="I370" s="736"/>
      <c r="J370" s="1200"/>
    </row>
    <row r="371" spans="1:10">
      <c r="A371" s="242"/>
      <c r="B371" s="1197"/>
      <c r="C371" s="1197"/>
      <c r="D371" s="317"/>
      <c r="E371" s="1197"/>
      <c r="F371" s="736"/>
      <c r="G371" s="736"/>
      <c r="H371" s="736"/>
      <c r="I371" s="736"/>
      <c r="J371" s="1200"/>
    </row>
    <row r="372" spans="1:10">
      <c r="A372" s="242"/>
      <c r="B372" s="1197"/>
      <c r="C372" s="1197"/>
      <c r="D372" s="317"/>
      <c r="E372" s="1197"/>
      <c r="F372" s="736"/>
      <c r="G372" s="736"/>
      <c r="H372" s="736"/>
      <c r="I372" s="736"/>
      <c r="J372" s="1200"/>
    </row>
    <row r="373" spans="1:10">
      <c r="A373" s="242"/>
      <c r="B373" s="1197"/>
      <c r="C373" s="1197"/>
      <c r="D373" s="317"/>
      <c r="E373" s="1197"/>
      <c r="F373" s="736"/>
      <c r="G373" s="736"/>
      <c r="H373" s="736"/>
      <c r="I373" s="736"/>
      <c r="J373" s="1200"/>
    </row>
    <row r="374" spans="1:10">
      <c r="A374" s="242"/>
      <c r="B374" s="1197"/>
      <c r="C374" s="1197"/>
      <c r="D374" s="317"/>
      <c r="E374" s="1197"/>
      <c r="F374" s="736"/>
      <c r="G374" s="736"/>
      <c r="H374" s="736"/>
      <c r="I374" s="736"/>
      <c r="J374" s="1200"/>
    </row>
    <row r="375" spans="1:10">
      <c r="A375" s="242"/>
      <c r="B375" s="1197"/>
      <c r="C375" s="1197"/>
      <c r="D375" s="317"/>
      <c r="E375" s="1197"/>
      <c r="F375" s="736"/>
      <c r="G375" s="736"/>
      <c r="H375" s="736"/>
      <c r="I375" s="736"/>
      <c r="J375" s="1200"/>
    </row>
    <row r="376" spans="1:10">
      <c r="A376" s="242"/>
      <c r="B376" s="1197"/>
      <c r="C376" s="1197"/>
      <c r="D376" s="317"/>
      <c r="E376" s="1197"/>
      <c r="F376" s="736"/>
      <c r="G376" s="736"/>
      <c r="H376" s="736"/>
      <c r="I376" s="736"/>
      <c r="J376" s="1200"/>
    </row>
    <row r="377" spans="1:10">
      <c r="A377" s="242"/>
      <c r="B377" s="1197"/>
      <c r="C377" s="1197"/>
      <c r="D377" s="317"/>
      <c r="E377" s="1197"/>
      <c r="F377" s="736"/>
      <c r="G377" s="736"/>
      <c r="H377" s="736"/>
      <c r="I377" s="736"/>
      <c r="J377" s="1200"/>
    </row>
    <row r="378" spans="1:10">
      <c r="A378" s="242"/>
      <c r="B378" s="1197"/>
      <c r="C378" s="1197"/>
      <c r="D378" s="317"/>
      <c r="E378" s="1197"/>
      <c r="F378" s="736"/>
      <c r="G378" s="736"/>
      <c r="H378" s="736"/>
      <c r="I378" s="736"/>
      <c r="J378" s="1200"/>
    </row>
    <row r="379" spans="1:10">
      <c r="A379" s="242"/>
      <c r="B379" s="1197"/>
      <c r="C379" s="1197"/>
      <c r="D379" s="317"/>
      <c r="E379" s="1197"/>
      <c r="F379" s="736"/>
      <c r="G379" s="736"/>
      <c r="H379" s="736"/>
      <c r="I379" s="736"/>
      <c r="J379" s="1200"/>
    </row>
    <row r="380" spans="1:10">
      <c r="A380" s="242"/>
      <c r="B380" s="1197"/>
      <c r="C380" s="1197"/>
      <c r="D380" s="317"/>
      <c r="E380" s="1197"/>
      <c r="F380" s="736"/>
      <c r="G380" s="736"/>
      <c r="H380" s="736"/>
      <c r="I380" s="736"/>
      <c r="J380" s="1200"/>
    </row>
    <row r="381" spans="1:10">
      <c r="A381" s="242"/>
      <c r="B381" s="1197"/>
      <c r="C381" s="1197"/>
      <c r="D381" s="317"/>
      <c r="E381" s="1197"/>
      <c r="F381" s="736"/>
      <c r="G381" s="736"/>
      <c r="H381" s="736"/>
      <c r="I381" s="736"/>
      <c r="J381" s="1200"/>
    </row>
    <row r="382" spans="1:10">
      <c r="A382" s="242"/>
      <c r="B382" s="1197"/>
      <c r="C382" s="1197"/>
      <c r="D382" s="317"/>
      <c r="E382" s="1197"/>
      <c r="F382" s="736"/>
      <c r="G382" s="736"/>
      <c r="H382" s="736"/>
      <c r="I382" s="736"/>
      <c r="J382" s="1200"/>
    </row>
    <row r="383" spans="1:10">
      <c r="A383" s="242"/>
      <c r="B383" s="1197"/>
      <c r="C383" s="1197"/>
      <c r="D383" s="317"/>
      <c r="E383" s="1197"/>
      <c r="F383" s="736"/>
      <c r="G383" s="736"/>
      <c r="H383" s="736"/>
      <c r="I383" s="736"/>
      <c r="J383" s="1200"/>
    </row>
    <row r="384" spans="1:10">
      <c r="A384" s="242"/>
      <c r="B384" s="1197"/>
      <c r="C384" s="1197"/>
      <c r="D384" s="317"/>
      <c r="E384" s="1197"/>
      <c r="F384" s="736"/>
      <c r="G384" s="736"/>
      <c r="H384" s="736"/>
      <c r="I384" s="736"/>
      <c r="J384" s="1200"/>
    </row>
    <row r="385" spans="1:10">
      <c r="A385" s="242"/>
      <c r="B385" s="1197"/>
      <c r="C385" s="1197"/>
      <c r="D385" s="317"/>
      <c r="E385" s="1197"/>
      <c r="F385" s="736"/>
      <c r="G385" s="736"/>
      <c r="H385" s="736"/>
      <c r="I385" s="736"/>
      <c r="J385" s="1200"/>
    </row>
    <row r="386" spans="1:10">
      <c r="A386" s="242"/>
      <c r="B386" s="1197"/>
      <c r="C386" s="1197"/>
      <c r="D386" s="317"/>
      <c r="E386" s="1197"/>
      <c r="F386" s="736"/>
      <c r="G386" s="736"/>
      <c r="H386" s="736"/>
      <c r="I386" s="736"/>
      <c r="J386" s="1200"/>
    </row>
    <row r="387" spans="1:10">
      <c r="A387" s="242"/>
      <c r="B387" s="1197"/>
      <c r="C387" s="1197"/>
      <c r="D387" s="317"/>
      <c r="E387" s="1197"/>
      <c r="F387" s="736"/>
      <c r="G387" s="736"/>
      <c r="H387" s="736"/>
      <c r="I387" s="736"/>
      <c r="J387" s="1200"/>
    </row>
    <row r="388" spans="1:10">
      <c r="A388" s="242"/>
      <c r="B388" s="1197"/>
      <c r="C388" s="1197"/>
      <c r="D388" s="317"/>
      <c r="E388" s="1197"/>
      <c r="F388" s="736"/>
      <c r="G388" s="736"/>
      <c r="H388" s="736"/>
      <c r="I388" s="736"/>
      <c r="J388" s="1200"/>
    </row>
    <row r="389" spans="1:10">
      <c r="A389" s="242"/>
      <c r="B389" s="1197"/>
      <c r="C389" s="1197"/>
      <c r="D389" s="317"/>
      <c r="E389" s="1197"/>
      <c r="F389" s="736"/>
      <c r="G389" s="736"/>
      <c r="H389" s="736"/>
      <c r="I389" s="736"/>
      <c r="J389" s="1200"/>
    </row>
    <row r="390" spans="1:10">
      <c r="A390" s="242"/>
      <c r="B390" s="1197"/>
      <c r="C390" s="1197"/>
      <c r="D390" s="317"/>
      <c r="E390" s="1197"/>
      <c r="F390" s="736"/>
      <c r="G390" s="736"/>
      <c r="H390" s="736"/>
      <c r="I390" s="736"/>
      <c r="J390" s="1200"/>
    </row>
    <row r="391" spans="1:10">
      <c r="A391" s="242"/>
      <c r="B391" s="1197"/>
      <c r="C391" s="1197"/>
      <c r="D391" s="317"/>
      <c r="E391" s="1197"/>
      <c r="F391" s="736"/>
      <c r="G391" s="736"/>
      <c r="H391" s="736"/>
      <c r="I391" s="736"/>
      <c r="J391" s="1200"/>
    </row>
    <row r="392" spans="1:10">
      <c r="A392" s="242"/>
      <c r="B392" s="1197"/>
      <c r="C392" s="1197"/>
      <c r="D392" s="317"/>
      <c r="E392" s="1197"/>
      <c r="F392" s="736"/>
      <c r="G392" s="736"/>
      <c r="H392" s="736"/>
      <c r="I392" s="736"/>
      <c r="J392" s="1200"/>
    </row>
    <row r="393" spans="1:10">
      <c r="A393" s="242"/>
      <c r="B393" s="1197"/>
      <c r="C393" s="1197"/>
      <c r="D393" s="317"/>
      <c r="E393" s="1197"/>
      <c r="F393" s="736"/>
      <c r="G393" s="736"/>
      <c r="H393" s="736"/>
      <c r="I393" s="736"/>
      <c r="J393" s="1200"/>
    </row>
    <row r="394" spans="1:10">
      <c r="A394" s="242"/>
      <c r="B394" s="1197"/>
      <c r="C394" s="1197"/>
      <c r="D394" s="317"/>
      <c r="E394" s="1197"/>
      <c r="F394" s="736"/>
      <c r="G394" s="736"/>
      <c r="H394" s="736"/>
      <c r="I394" s="736"/>
      <c r="J394" s="1200"/>
    </row>
    <row r="395" spans="1:10">
      <c r="A395" s="242"/>
      <c r="B395" s="1197"/>
      <c r="C395" s="1197"/>
      <c r="D395" s="317"/>
      <c r="E395" s="1197"/>
      <c r="F395" s="736"/>
      <c r="G395" s="736"/>
      <c r="H395" s="736"/>
      <c r="I395" s="736"/>
      <c r="J395" s="1200"/>
    </row>
    <row r="396" spans="1:10">
      <c r="A396" s="242"/>
      <c r="B396" s="1197"/>
      <c r="C396" s="1197"/>
      <c r="D396" s="317"/>
      <c r="E396" s="1197"/>
      <c r="F396" s="736"/>
      <c r="G396" s="736"/>
      <c r="H396" s="736"/>
      <c r="I396" s="736"/>
      <c r="J396" s="1200"/>
    </row>
    <row r="397" spans="1:10">
      <c r="A397" s="242"/>
      <c r="B397" s="1197"/>
      <c r="C397" s="1197"/>
      <c r="D397" s="317"/>
      <c r="E397" s="1197"/>
      <c r="F397" s="736"/>
      <c r="G397" s="736"/>
      <c r="H397" s="736"/>
      <c r="I397" s="736"/>
      <c r="J397" s="1200"/>
    </row>
    <row r="398" spans="1:10">
      <c r="A398" s="242"/>
      <c r="B398" s="1197"/>
      <c r="C398" s="1197"/>
      <c r="D398" s="317"/>
      <c r="E398" s="1197"/>
      <c r="F398" s="736"/>
      <c r="G398" s="736"/>
      <c r="H398" s="736"/>
      <c r="I398" s="736"/>
      <c r="J398" s="1200"/>
    </row>
    <row r="399" spans="1:10">
      <c r="A399" s="242"/>
      <c r="B399" s="1197"/>
      <c r="C399" s="1197"/>
      <c r="D399" s="317"/>
      <c r="E399" s="1197"/>
      <c r="F399" s="736"/>
      <c r="G399" s="736"/>
      <c r="H399" s="736"/>
      <c r="I399" s="736"/>
      <c r="J399" s="1200"/>
    </row>
    <row r="400" spans="1:10">
      <c r="A400" s="242"/>
      <c r="B400" s="1197"/>
      <c r="C400" s="1197"/>
      <c r="D400" s="317"/>
      <c r="E400" s="1197"/>
      <c r="F400" s="736"/>
      <c r="G400" s="736"/>
      <c r="H400" s="736"/>
      <c r="I400" s="736"/>
      <c r="J400" s="1200"/>
    </row>
    <row r="401" spans="1:10">
      <c r="A401" s="242"/>
      <c r="B401" s="1197"/>
      <c r="C401" s="1197"/>
      <c r="D401" s="317"/>
      <c r="E401" s="1197"/>
      <c r="F401" s="736"/>
      <c r="G401" s="736"/>
      <c r="H401" s="736"/>
      <c r="I401" s="736"/>
      <c r="J401" s="1200"/>
    </row>
    <row r="402" spans="1:10">
      <c r="A402" s="242"/>
      <c r="B402" s="1197"/>
      <c r="C402" s="1197"/>
      <c r="D402" s="317"/>
      <c r="E402" s="1197"/>
      <c r="F402" s="736"/>
      <c r="G402" s="736"/>
      <c r="H402" s="736"/>
      <c r="I402" s="736"/>
      <c r="J402" s="1200"/>
    </row>
    <row r="403" spans="1:10">
      <c r="A403" s="242"/>
      <c r="B403" s="1197"/>
      <c r="C403" s="1197"/>
      <c r="D403" s="317"/>
      <c r="E403" s="1197"/>
      <c r="F403" s="736"/>
      <c r="G403" s="736"/>
      <c r="H403" s="736"/>
      <c r="I403" s="736"/>
      <c r="J403" s="1200"/>
    </row>
    <row r="404" spans="1:10">
      <c r="A404" s="242"/>
      <c r="B404" s="1197"/>
      <c r="C404" s="1197"/>
      <c r="D404" s="317"/>
      <c r="E404" s="1197"/>
      <c r="F404" s="736"/>
      <c r="G404" s="736"/>
      <c r="H404" s="736"/>
      <c r="I404" s="736"/>
      <c r="J404" s="1200"/>
    </row>
    <row r="405" spans="1:10">
      <c r="A405" s="242"/>
      <c r="B405" s="1197"/>
      <c r="C405" s="1197"/>
      <c r="D405" s="317"/>
      <c r="E405" s="1197"/>
      <c r="F405" s="736"/>
      <c r="G405" s="736"/>
      <c r="H405" s="736"/>
      <c r="I405" s="736"/>
      <c r="J405" s="1200"/>
    </row>
    <row r="406" spans="1:10">
      <c r="A406" s="242"/>
      <c r="B406" s="1197"/>
      <c r="C406" s="1197"/>
      <c r="D406" s="317"/>
      <c r="E406" s="1197"/>
      <c r="F406" s="736"/>
      <c r="G406" s="736"/>
      <c r="H406" s="736"/>
      <c r="I406" s="736"/>
      <c r="J406" s="1200"/>
    </row>
    <row r="407" spans="1:10">
      <c r="A407" s="242"/>
      <c r="B407" s="1197"/>
      <c r="C407" s="1197"/>
      <c r="D407" s="317"/>
      <c r="E407" s="1197"/>
      <c r="F407" s="736"/>
      <c r="G407" s="736"/>
      <c r="H407" s="736"/>
      <c r="I407" s="736"/>
      <c r="J407" s="1200"/>
    </row>
    <row r="408" spans="1:10">
      <c r="A408" s="242"/>
      <c r="B408" s="1197"/>
      <c r="C408" s="1197"/>
      <c r="D408" s="317"/>
      <c r="E408" s="1197"/>
      <c r="F408" s="736"/>
      <c r="G408" s="736"/>
      <c r="H408" s="736"/>
      <c r="I408" s="736"/>
      <c r="J408" s="1200"/>
    </row>
    <row r="409" spans="1:10">
      <c r="A409" s="242"/>
      <c r="B409" s="1197"/>
      <c r="C409" s="1197"/>
      <c r="D409" s="317"/>
      <c r="E409" s="1197"/>
      <c r="F409" s="736"/>
      <c r="G409" s="736"/>
      <c r="H409" s="736"/>
      <c r="I409" s="736"/>
      <c r="J409" s="1200"/>
    </row>
    <row r="410" spans="1:10">
      <c r="A410" s="242"/>
      <c r="B410" s="1197"/>
      <c r="C410" s="1197"/>
      <c r="D410" s="317"/>
      <c r="E410" s="1197"/>
      <c r="F410" s="736"/>
      <c r="G410" s="736"/>
      <c r="H410" s="736"/>
      <c r="I410" s="736"/>
      <c r="J410" s="1200"/>
    </row>
    <row r="411" spans="1:10">
      <c r="A411" s="242"/>
      <c r="B411" s="1197"/>
      <c r="C411" s="1197"/>
      <c r="D411" s="317"/>
      <c r="E411" s="1197"/>
      <c r="F411" s="736"/>
      <c r="G411" s="736"/>
      <c r="H411" s="736"/>
      <c r="I411" s="736"/>
      <c r="J411" s="1200"/>
    </row>
    <row r="412" spans="1:10">
      <c r="A412" s="242"/>
      <c r="B412" s="1197"/>
      <c r="C412" s="1197"/>
      <c r="D412" s="317"/>
      <c r="E412" s="1197"/>
      <c r="F412" s="736"/>
      <c r="G412" s="736"/>
      <c r="H412" s="736"/>
      <c r="I412" s="736"/>
      <c r="J412" s="1200"/>
    </row>
    <row r="413" spans="1:10">
      <c r="A413" s="242"/>
      <c r="B413" s="1197"/>
      <c r="C413" s="1197"/>
      <c r="D413" s="317"/>
      <c r="E413" s="1197"/>
      <c r="F413" s="736"/>
      <c r="G413" s="736"/>
      <c r="H413" s="736"/>
      <c r="I413" s="736"/>
      <c r="J413" s="1200"/>
    </row>
    <row r="414" spans="1:10">
      <c r="A414" s="242"/>
      <c r="B414" s="1197"/>
      <c r="C414" s="1197"/>
      <c r="D414" s="317"/>
      <c r="E414" s="1197"/>
      <c r="F414" s="736"/>
      <c r="G414" s="736"/>
      <c r="H414" s="736"/>
      <c r="I414" s="736"/>
      <c r="J414" s="1200"/>
    </row>
    <row r="415" spans="1:10">
      <c r="A415" s="242"/>
      <c r="B415" s="1197"/>
      <c r="C415" s="1197"/>
      <c r="D415" s="317"/>
      <c r="E415" s="1197"/>
      <c r="F415" s="736"/>
      <c r="G415" s="736"/>
      <c r="H415" s="736"/>
      <c r="I415" s="736"/>
      <c r="J415" s="1200"/>
    </row>
    <row r="416" spans="1:10">
      <c r="A416" s="242"/>
      <c r="B416" s="1197"/>
      <c r="C416" s="1197"/>
      <c r="D416" s="317"/>
      <c r="E416" s="1197"/>
      <c r="F416" s="736"/>
      <c r="G416" s="736"/>
      <c r="H416" s="736"/>
      <c r="I416" s="736"/>
      <c r="J416" s="1200"/>
    </row>
    <row r="417" spans="1:10">
      <c r="A417" s="242"/>
      <c r="B417" s="1197"/>
      <c r="C417" s="1197"/>
      <c r="D417" s="317"/>
      <c r="E417" s="1197"/>
      <c r="F417" s="736"/>
      <c r="G417" s="736"/>
      <c r="H417" s="736"/>
      <c r="I417" s="736"/>
      <c r="J417" s="1200"/>
    </row>
    <row r="418" spans="1:10">
      <c r="A418" s="242"/>
      <c r="B418" s="1197"/>
      <c r="C418" s="1197"/>
      <c r="D418" s="317"/>
      <c r="E418" s="1197"/>
      <c r="F418" s="736"/>
      <c r="G418" s="736"/>
      <c r="H418" s="736"/>
      <c r="I418" s="736"/>
      <c r="J418" s="1200"/>
    </row>
    <row r="419" spans="1:10">
      <c r="A419" s="242"/>
      <c r="B419" s="1197"/>
      <c r="C419" s="1197"/>
      <c r="D419" s="317"/>
      <c r="E419" s="1197"/>
      <c r="F419" s="736"/>
      <c r="G419" s="736"/>
      <c r="H419" s="736"/>
      <c r="I419" s="736"/>
      <c r="J419" s="1200"/>
    </row>
    <row r="420" spans="1:10">
      <c r="A420" s="242"/>
      <c r="B420" s="1197"/>
      <c r="C420" s="1197"/>
      <c r="D420" s="317"/>
      <c r="E420" s="1197"/>
      <c r="F420" s="736"/>
      <c r="G420" s="736"/>
      <c r="H420" s="736"/>
      <c r="I420" s="736"/>
      <c r="J420" s="1200"/>
    </row>
    <row r="421" spans="1:10">
      <c r="A421" s="242"/>
      <c r="B421" s="1197"/>
      <c r="C421" s="1197"/>
      <c r="D421" s="317"/>
      <c r="E421" s="1197"/>
      <c r="F421" s="736"/>
      <c r="G421" s="736"/>
      <c r="H421" s="736"/>
      <c r="I421" s="736"/>
      <c r="J421" s="1200"/>
    </row>
    <row r="422" spans="1:10">
      <c r="A422" s="242"/>
      <c r="B422" s="1197"/>
      <c r="C422" s="1197"/>
      <c r="D422" s="317"/>
      <c r="E422" s="1197"/>
      <c r="F422" s="736"/>
      <c r="G422" s="736"/>
      <c r="H422" s="736"/>
      <c r="I422" s="736"/>
      <c r="J422" s="1200"/>
    </row>
    <row r="423" spans="1:10">
      <c r="A423" s="242"/>
      <c r="B423" s="1197"/>
      <c r="C423" s="1197"/>
      <c r="D423" s="317"/>
      <c r="E423" s="1197"/>
      <c r="F423" s="736"/>
      <c r="G423" s="736"/>
      <c r="H423" s="736"/>
      <c r="I423" s="736"/>
      <c r="J423" s="1200"/>
    </row>
    <row r="424" spans="1:10">
      <c r="A424" s="242"/>
      <c r="B424" s="1197"/>
      <c r="C424" s="1197"/>
      <c r="D424" s="317"/>
      <c r="E424" s="1197"/>
      <c r="F424" s="736"/>
      <c r="G424" s="736"/>
      <c r="H424" s="736"/>
      <c r="I424" s="736"/>
      <c r="J424" s="1200"/>
    </row>
    <row r="425" spans="1:10">
      <c r="A425" s="242"/>
      <c r="B425" s="1197"/>
      <c r="C425" s="1197"/>
      <c r="D425" s="317"/>
      <c r="E425" s="1197"/>
      <c r="F425" s="736"/>
      <c r="G425" s="736"/>
      <c r="H425" s="736"/>
      <c r="I425" s="736"/>
      <c r="J425" s="1200"/>
    </row>
    <row r="426" spans="1:10">
      <c r="A426" s="242"/>
      <c r="B426" s="1197"/>
      <c r="C426" s="1197"/>
      <c r="D426" s="317"/>
      <c r="E426" s="1197"/>
      <c r="F426" s="736"/>
      <c r="G426" s="736"/>
      <c r="H426" s="736"/>
      <c r="I426" s="736"/>
      <c r="J426" s="1200"/>
    </row>
    <row r="427" spans="1:10">
      <c r="A427" s="242"/>
      <c r="B427" s="1197"/>
      <c r="C427" s="1197"/>
      <c r="D427" s="317"/>
      <c r="E427" s="1197"/>
      <c r="F427" s="736"/>
      <c r="G427" s="736"/>
      <c r="H427" s="736"/>
      <c r="I427" s="736"/>
      <c r="J427" s="1200"/>
    </row>
    <row r="428" spans="1:10">
      <c r="A428" s="242"/>
      <c r="B428" s="1197"/>
      <c r="C428" s="1197"/>
      <c r="D428" s="317"/>
      <c r="E428" s="1197"/>
      <c r="F428" s="736"/>
      <c r="G428" s="736"/>
      <c r="H428" s="736"/>
      <c r="I428" s="736"/>
      <c r="J428" s="1200"/>
    </row>
    <row r="429" spans="1:10">
      <c r="A429" s="242"/>
      <c r="B429" s="1197"/>
      <c r="C429" s="1197"/>
      <c r="D429" s="317"/>
      <c r="E429" s="1197"/>
      <c r="F429" s="736"/>
      <c r="G429" s="736"/>
      <c r="H429" s="736"/>
      <c r="I429" s="736"/>
      <c r="J429" s="1200"/>
    </row>
    <row r="430" spans="1:10">
      <c r="A430" s="242"/>
      <c r="B430" s="1197"/>
      <c r="C430" s="1197"/>
      <c r="D430" s="317"/>
      <c r="E430" s="1197"/>
      <c r="F430" s="736"/>
      <c r="G430" s="736"/>
      <c r="H430" s="736"/>
      <c r="I430" s="736"/>
      <c r="J430" s="1200"/>
    </row>
    <row r="431" spans="1:10">
      <c r="A431" s="242"/>
      <c r="B431" s="1197"/>
      <c r="C431" s="1197"/>
      <c r="D431" s="317"/>
      <c r="E431" s="1197"/>
      <c r="F431" s="736"/>
      <c r="G431" s="736"/>
      <c r="H431" s="736"/>
      <c r="I431" s="736"/>
      <c r="J431" s="1200"/>
    </row>
    <row r="432" spans="1:10">
      <c r="A432" s="242"/>
      <c r="B432" s="1197"/>
      <c r="C432" s="1197"/>
      <c r="D432" s="317"/>
      <c r="E432" s="1197"/>
      <c r="F432" s="736"/>
      <c r="G432" s="736"/>
      <c r="H432" s="736"/>
      <c r="I432" s="736"/>
      <c r="J432" s="1200"/>
    </row>
    <row r="433" spans="1:10">
      <c r="A433" s="242"/>
      <c r="B433" s="1197"/>
      <c r="C433" s="1197"/>
      <c r="D433" s="317"/>
      <c r="E433" s="1197"/>
      <c r="F433" s="736"/>
      <c r="G433" s="736"/>
      <c r="H433" s="736"/>
      <c r="I433" s="736"/>
      <c r="J433" s="1200"/>
    </row>
    <row r="434" spans="1:10">
      <c r="A434" s="242"/>
      <c r="B434" s="1197"/>
      <c r="C434" s="1197"/>
      <c r="D434" s="317"/>
      <c r="E434" s="1197"/>
      <c r="F434" s="736"/>
      <c r="G434" s="736"/>
      <c r="H434" s="736"/>
      <c r="I434" s="736"/>
      <c r="J434" s="1200"/>
    </row>
    <row r="435" spans="1:10">
      <c r="A435" s="242"/>
      <c r="B435" s="1197"/>
      <c r="C435" s="1197"/>
      <c r="D435" s="317"/>
      <c r="E435" s="1197"/>
      <c r="F435" s="736"/>
      <c r="G435" s="736"/>
      <c r="H435" s="736"/>
      <c r="I435" s="736"/>
      <c r="J435" s="1200"/>
    </row>
    <row r="436" spans="1:10">
      <c r="A436" s="242"/>
      <c r="B436" s="1197"/>
      <c r="C436" s="1197"/>
      <c r="D436" s="317"/>
      <c r="E436" s="1197"/>
      <c r="F436" s="736"/>
      <c r="G436" s="736"/>
      <c r="H436" s="736"/>
      <c r="I436" s="736"/>
      <c r="J436" s="1200"/>
    </row>
    <row r="437" spans="1:10">
      <c r="A437" s="242"/>
      <c r="B437" s="1197"/>
      <c r="C437" s="1197"/>
      <c r="D437" s="317"/>
      <c r="E437" s="1197"/>
      <c r="F437" s="736"/>
      <c r="G437" s="736"/>
      <c r="H437" s="736"/>
      <c r="I437" s="736"/>
      <c r="J437" s="1200"/>
    </row>
    <row r="438" spans="1:10">
      <c r="A438" s="242"/>
      <c r="B438" s="1197"/>
      <c r="C438" s="1197"/>
      <c r="D438" s="317"/>
      <c r="E438" s="1197"/>
      <c r="F438" s="736"/>
      <c r="G438" s="736"/>
      <c r="H438" s="736"/>
      <c r="I438" s="736"/>
      <c r="J438" s="1200"/>
    </row>
    <row r="439" spans="1:10">
      <c r="A439" s="242"/>
      <c r="B439" s="1197"/>
      <c r="C439" s="1197"/>
      <c r="D439" s="317"/>
      <c r="E439" s="1197"/>
      <c r="F439" s="736"/>
      <c r="G439" s="736"/>
      <c r="H439" s="736"/>
      <c r="I439" s="736"/>
      <c r="J439" s="1200"/>
    </row>
    <row r="440" spans="1:10">
      <c r="A440" s="242"/>
      <c r="B440" s="1197"/>
      <c r="C440" s="1197"/>
      <c r="D440" s="317"/>
      <c r="E440" s="1197"/>
      <c r="F440" s="736"/>
      <c r="G440" s="736"/>
      <c r="H440" s="736"/>
      <c r="I440" s="736"/>
      <c r="J440" s="1200"/>
    </row>
    <row r="441" spans="1:10">
      <c r="A441" s="242"/>
      <c r="B441" s="1197"/>
      <c r="C441" s="1197"/>
      <c r="D441" s="317"/>
      <c r="E441" s="1197"/>
      <c r="F441" s="736"/>
      <c r="G441" s="736"/>
      <c r="H441" s="736"/>
      <c r="I441" s="736"/>
      <c r="J441" s="1200"/>
    </row>
    <row r="442" spans="1:10">
      <c r="A442" s="242"/>
      <c r="B442" s="1197"/>
      <c r="C442" s="1197"/>
      <c r="D442" s="317"/>
      <c r="E442" s="1197"/>
      <c r="F442" s="736"/>
      <c r="G442" s="736"/>
      <c r="H442" s="736"/>
      <c r="I442" s="736"/>
      <c r="J442" s="1200"/>
    </row>
    <row r="443" spans="1:10">
      <c r="A443" s="242"/>
      <c r="B443" s="1197"/>
      <c r="C443" s="1197"/>
      <c r="D443" s="317"/>
      <c r="E443" s="1197"/>
      <c r="F443" s="736"/>
      <c r="G443" s="736"/>
      <c r="H443" s="736"/>
      <c r="I443" s="736"/>
      <c r="J443" s="1200"/>
    </row>
    <row r="444" spans="1:10">
      <c r="A444" s="242"/>
      <c r="B444" s="1197"/>
      <c r="C444" s="1197"/>
      <c r="D444" s="317"/>
      <c r="E444" s="1197"/>
      <c r="F444" s="736"/>
      <c r="G444" s="736"/>
      <c r="H444" s="736"/>
      <c r="I444" s="736"/>
      <c r="J444" s="1200"/>
    </row>
    <row r="445" spans="1:10">
      <c r="A445" s="242"/>
      <c r="B445" s="1197"/>
      <c r="C445" s="1197"/>
      <c r="D445" s="317"/>
      <c r="E445" s="1197"/>
      <c r="F445" s="736"/>
      <c r="G445" s="736"/>
      <c r="H445" s="736"/>
      <c r="I445" s="736"/>
      <c r="J445" s="1200"/>
    </row>
    <row r="446" spans="1:10">
      <c r="A446" s="242"/>
      <c r="B446" s="1197"/>
      <c r="C446" s="1197"/>
      <c r="D446" s="317"/>
      <c r="E446" s="1197"/>
      <c r="F446" s="736"/>
      <c r="G446" s="736"/>
      <c r="H446" s="736"/>
      <c r="I446" s="736"/>
      <c r="J446" s="1200"/>
    </row>
    <row r="447" spans="1:10">
      <c r="A447" s="242"/>
      <c r="B447" s="1197"/>
      <c r="C447" s="1197"/>
      <c r="D447" s="317"/>
      <c r="E447" s="1197"/>
      <c r="F447" s="736"/>
      <c r="G447" s="736"/>
      <c r="H447" s="736"/>
      <c r="I447" s="736"/>
      <c r="J447" s="1200"/>
    </row>
    <row r="448" spans="1:10">
      <c r="A448" s="242"/>
      <c r="B448" s="1197"/>
      <c r="C448" s="1197"/>
      <c r="D448" s="317"/>
      <c r="E448" s="1197"/>
      <c r="F448" s="736"/>
      <c r="G448" s="736"/>
      <c r="H448" s="736"/>
      <c r="I448" s="736"/>
      <c r="J448" s="1200"/>
    </row>
    <row r="449" spans="1:10">
      <c r="A449" s="242"/>
      <c r="B449" s="1197"/>
      <c r="C449" s="1197"/>
      <c r="D449" s="317"/>
      <c r="E449" s="1197"/>
      <c r="F449" s="736"/>
      <c r="G449" s="736"/>
      <c r="H449" s="736"/>
      <c r="I449" s="736"/>
      <c r="J449" s="1200"/>
    </row>
    <row r="450" spans="1:10">
      <c r="A450" s="242"/>
      <c r="B450" s="1197"/>
      <c r="C450" s="1197"/>
      <c r="D450" s="317"/>
      <c r="E450" s="1197"/>
      <c r="F450" s="736"/>
      <c r="G450" s="736"/>
      <c r="H450" s="736"/>
      <c r="I450" s="736"/>
      <c r="J450" s="1200"/>
    </row>
    <row r="451" spans="1:10">
      <c r="A451" s="242"/>
      <c r="B451" s="1197"/>
      <c r="C451" s="1197"/>
      <c r="D451" s="317"/>
      <c r="E451" s="1197"/>
      <c r="F451" s="736"/>
      <c r="G451" s="736"/>
      <c r="H451" s="736"/>
      <c r="I451" s="736"/>
      <c r="J451" s="1200"/>
    </row>
    <row r="452" spans="1:10">
      <c r="A452" s="242"/>
      <c r="B452" s="1197"/>
      <c r="C452" s="1197"/>
      <c r="D452" s="317"/>
      <c r="E452" s="1197"/>
      <c r="F452" s="736"/>
      <c r="G452" s="736"/>
      <c r="H452" s="736"/>
      <c r="I452" s="736"/>
      <c r="J452" s="1200"/>
    </row>
    <row r="453" spans="1:10">
      <c r="A453" s="242"/>
      <c r="B453" s="1197"/>
      <c r="C453" s="1197"/>
      <c r="D453" s="317"/>
      <c r="E453" s="1197"/>
      <c r="F453" s="736"/>
      <c r="G453" s="736"/>
      <c r="H453" s="736"/>
      <c r="I453" s="736"/>
      <c r="J453" s="1200"/>
    </row>
    <row r="454" spans="1:10">
      <c r="A454" s="242"/>
      <c r="B454" s="1197"/>
      <c r="C454" s="1197"/>
      <c r="D454" s="317"/>
      <c r="E454" s="1197"/>
      <c r="F454" s="736"/>
      <c r="G454" s="736"/>
      <c r="H454" s="736"/>
      <c r="I454" s="736"/>
      <c r="J454" s="1200"/>
    </row>
    <row r="455" spans="1:10">
      <c r="A455" s="242"/>
      <c r="B455" s="1197"/>
      <c r="C455" s="1197"/>
      <c r="D455" s="317"/>
      <c r="E455" s="1197"/>
      <c r="F455" s="736"/>
      <c r="G455" s="736"/>
      <c r="H455" s="736"/>
      <c r="I455" s="736"/>
      <c r="J455" s="1200"/>
    </row>
    <row r="456" spans="1:10">
      <c r="A456" s="242"/>
      <c r="B456" s="1197"/>
      <c r="C456" s="1197"/>
      <c r="D456" s="317"/>
      <c r="E456" s="1197"/>
      <c r="F456" s="736"/>
      <c r="G456" s="736"/>
      <c r="H456" s="736"/>
      <c r="I456" s="736"/>
      <c r="J456" s="1200"/>
    </row>
    <row r="457" spans="1:10">
      <c r="A457" s="242"/>
      <c r="B457" s="1197"/>
      <c r="C457" s="1197"/>
      <c r="D457" s="317"/>
      <c r="E457" s="1197"/>
      <c r="F457" s="736"/>
      <c r="G457" s="736"/>
      <c r="H457" s="736"/>
      <c r="I457" s="736"/>
      <c r="J457" s="1200"/>
    </row>
    <row r="458" spans="1:10">
      <c r="A458" s="242"/>
      <c r="B458" s="1197"/>
      <c r="C458" s="1197"/>
      <c r="D458" s="317"/>
      <c r="E458" s="1197"/>
      <c r="F458" s="736"/>
      <c r="G458" s="736"/>
      <c r="H458" s="736"/>
      <c r="I458" s="736"/>
      <c r="J458" s="1200"/>
    </row>
    <row r="459" spans="1:10">
      <c r="A459" s="242"/>
      <c r="B459" s="1197"/>
      <c r="C459" s="1197"/>
      <c r="D459" s="317"/>
      <c r="E459" s="1197"/>
      <c r="F459" s="736"/>
      <c r="G459" s="736"/>
      <c r="H459" s="736"/>
      <c r="I459" s="736"/>
      <c r="J459" s="1200"/>
    </row>
    <row r="460" spans="1:10">
      <c r="A460" s="242"/>
      <c r="B460" s="1197"/>
      <c r="C460" s="1197"/>
      <c r="D460" s="317"/>
      <c r="E460" s="1197"/>
      <c r="F460" s="736"/>
      <c r="G460" s="736"/>
      <c r="H460" s="736"/>
      <c r="I460" s="736"/>
      <c r="J460" s="1200"/>
    </row>
    <row r="461" spans="1:10">
      <c r="A461" s="242"/>
      <c r="B461" s="1197"/>
      <c r="C461" s="1197"/>
      <c r="D461" s="317"/>
      <c r="E461" s="1197"/>
      <c r="F461" s="736"/>
      <c r="G461" s="736"/>
      <c r="H461" s="736"/>
      <c r="I461" s="736"/>
      <c r="J461" s="1200"/>
    </row>
    <row r="462" spans="1:10">
      <c r="A462" s="242"/>
      <c r="B462" s="1197"/>
      <c r="C462" s="1197"/>
      <c r="D462" s="317"/>
      <c r="E462" s="1197"/>
      <c r="F462" s="736"/>
      <c r="G462" s="736"/>
      <c r="H462" s="736"/>
      <c r="I462" s="736"/>
      <c r="J462" s="1200"/>
    </row>
    <row r="463" spans="1:10">
      <c r="A463" s="242"/>
      <c r="B463" s="1197"/>
      <c r="C463" s="1197"/>
      <c r="D463" s="317"/>
      <c r="E463" s="1197"/>
      <c r="F463" s="736"/>
      <c r="G463" s="736"/>
      <c r="H463" s="736"/>
      <c r="I463" s="736"/>
      <c r="J463" s="1200"/>
    </row>
    <row r="464" spans="1:10">
      <c r="A464" s="242"/>
      <c r="B464" s="1197"/>
      <c r="C464" s="1197"/>
      <c r="D464" s="317"/>
      <c r="E464" s="1197"/>
      <c r="F464" s="736"/>
      <c r="G464" s="736"/>
      <c r="H464" s="736"/>
      <c r="I464" s="736"/>
      <c r="J464" s="1200"/>
    </row>
    <row r="465" spans="1:10">
      <c r="A465" s="242"/>
      <c r="B465" s="1197"/>
      <c r="C465" s="1197"/>
      <c r="D465" s="317"/>
      <c r="E465" s="1197"/>
      <c r="F465" s="736"/>
      <c r="G465" s="736"/>
      <c r="H465" s="736"/>
      <c r="I465" s="736"/>
      <c r="J465" s="1200"/>
    </row>
    <row r="466" spans="1:10">
      <c r="A466" s="242"/>
      <c r="B466" s="1197"/>
      <c r="C466" s="1197"/>
      <c r="D466" s="317"/>
      <c r="E466" s="1197"/>
      <c r="F466" s="736"/>
      <c r="G466" s="736"/>
      <c r="H466" s="736"/>
      <c r="I466" s="736"/>
      <c r="J466" s="1200"/>
    </row>
    <row r="467" spans="1:10">
      <c r="A467" s="242"/>
      <c r="B467" s="1197"/>
      <c r="C467" s="1197"/>
      <c r="D467" s="317"/>
      <c r="E467" s="1197"/>
      <c r="F467" s="736"/>
      <c r="G467" s="736"/>
      <c r="H467" s="736"/>
      <c r="I467" s="736"/>
      <c r="J467" s="1200"/>
    </row>
    <row r="468" spans="1:10">
      <c r="A468" s="242"/>
      <c r="B468" s="1197"/>
      <c r="C468" s="1197"/>
      <c r="D468" s="317"/>
      <c r="E468" s="1197"/>
      <c r="F468" s="736"/>
      <c r="G468" s="736"/>
      <c r="H468" s="736"/>
      <c r="I468" s="736"/>
      <c r="J468" s="1200"/>
    </row>
    <row r="469" spans="1:10">
      <c r="A469" s="242"/>
      <c r="B469" s="1197"/>
      <c r="C469" s="1197"/>
      <c r="D469" s="317"/>
      <c r="E469" s="1197"/>
      <c r="F469" s="736"/>
      <c r="G469" s="736"/>
      <c r="H469" s="736"/>
      <c r="I469" s="736"/>
      <c r="J469" s="1200"/>
    </row>
    <row r="470" spans="1:10">
      <c r="A470" s="242"/>
      <c r="B470" s="1197"/>
      <c r="C470" s="1197"/>
      <c r="D470" s="317"/>
      <c r="E470" s="1197"/>
      <c r="F470" s="736"/>
      <c r="G470" s="736"/>
      <c r="H470" s="736"/>
      <c r="I470" s="736"/>
      <c r="J470" s="1200"/>
    </row>
    <row r="471" spans="1:10">
      <c r="A471" s="242"/>
      <c r="B471" s="1197"/>
      <c r="C471" s="1197"/>
      <c r="D471" s="317"/>
      <c r="E471" s="1197"/>
      <c r="F471" s="736"/>
      <c r="G471" s="736"/>
      <c r="H471" s="736"/>
      <c r="I471" s="736"/>
      <c r="J471" s="1200"/>
    </row>
    <row r="472" spans="1:10">
      <c r="A472" s="242"/>
      <c r="B472" s="1197"/>
      <c r="C472" s="1197"/>
      <c r="D472" s="317"/>
      <c r="E472" s="1197"/>
      <c r="F472" s="736"/>
      <c r="G472" s="736"/>
      <c r="H472" s="736"/>
      <c r="I472" s="736"/>
      <c r="J472" s="1200"/>
    </row>
    <row r="473" spans="1:10">
      <c r="A473" s="242"/>
      <c r="B473" s="1197"/>
      <c r="C473" s="1197"/>
      <c r="D473" s="317"/>
      <c r="E473" s="1197"/>
      <c r="F473" s="736"/>
      <c r="G473" s="736"/>
      <c r="H473" s="736"/>
      <c r="I473" s="736"/>
      <c r="J473" s="1200"/>
    </row>
    <row r="474" spans="1:10">
      <c r="A474" s="242"/>
      <c r="B474" s="1197"/>
      <c r="C474" s="1197"/>
      <c r="D474" s="317"/>
      <c r="E474" s="1197"/>
      <c r="F474" s="736"/>
      <c r="G474" s="736"/>
      <c r="H474" s="736"/>
      <c r="I474" s="736"/>
      <c r="J474" s="1200"/>
    </row>
    <row r="475" spans="1:10">
      <c r="A475" s="242"/>
      <c r="B475" s="1197"/>
      <c r="C475" s="1197"/>
      <c r="D475" s="317"/>
      <c r="E475" s="1197"/>
      <c r="F475" s="736"/>
      <c r="G475" s="736"/>
      <c r="H475" s="736"/>
      <c r="I475" s="736"/>
      <c r="J475" s="1200"/>
    </row>
    <row r="476" spans="1:10">
      <c r="A476" s="242"/>
      <c r="B476" s="1197"/>
      <c r="C476" s="1197"/>
      <c r="D476" s="317"/>
      <c r="E476" s="1197"/>
      <c r="F476" s="736"/>
      <c r="G476" s="736"/>
      <c r="H476" s="736"/>
      <c r="I476" s="736"/>
      <c r="J476" s="1200"/>
    </row>
    <row r="477" spans="1:10">
      <c r="A477" s="242"/>
      <c r="B477" s="1197"/>
      <c r="C477" s="1197"/>
      <c r="D477" s="317"/>
      <c r="E477" s="1197"/>
      <c r="F477" s="736"/>
      <c r="G477" s="736"/>
      <c r="H477" s="736"/>
      <c r="I477" s="736"/>
      <c r="J477" s="1200"/>
    </row>
    <row r="478" spans="1:10">
      <c r="A478" s="242"/>
      <c r="B478" s="1197"/>
      <c r="C478" s="1197"/>
      <c r="D478" s="317"/>
      <c r="E478" s="1197"/>
      <c r="F478" s="736"/>
      <c r="G478" s="736"/>
      <c r="H478" s="736"/>
      <c r="I478" s="736"/>
      <c r="J478" s="1200"/>
    </row>
    <row r="479" spans="1:10">
      <c r="A479" s="242"/>
      <c r="B479" s="1197"/>
      <c r="C479" s="1197"/>
      <c r="D479" s="317"/>
      <c r="E479" s="1197"/>
      <c r="F479" s="736"/>
      <c r="G479" s="736"/>
      <c r="H479" s="736"/>
      <c r="I479" s="736"/>
      <c r="J479" s="1200"/>
    </row>
    <row r="480" spans="1:10">
      <c r="A480" s="242"/>
      <c r="B480" s="1197"/>
      <c r="C480" s="1197"/>
      <c r="D480" s="317"/>
      <c r="E480" s="1197"/>
      <c r="F480" s="736"/>
      <c r="G480" s="736"/>
      <c r="H480" s="736"/>
      <c r="I480" s="736"/>
      <c r="J480" s="1200"/>
    </row>
    <row r="481" spans="1:10">
      <c r="A481" s="242"/>
      <c r="B481" s="1197"/>
      <c r="C481" s="1197"/>
      <c r="D481" s="317"/>
      <c r="E481" s="1197"/>
      <c r="F481" s="736"/>
      <c r="G481" s="736"/>
      <c r="H481" s="736"/>
      <c r="I481" s="736"/>
      <c r="J481" s="1200"/>
    </row>
    <row r="482" spans="1:10">
      <c r="A482" s="242"/>
      <c r="B482" s="1197"/>
      <c r="C482" s="1197"/>
      <c r="D482" s="317"/>
      <c r="E482" s="1197"/>
      <c r="F482" s="736"/>
      <c r="G482" s="736"/>
      <c r="H482" s="736"/>
      <c r="I482" s="736"/>
      <c r="J482" s="1200"/>
    </row>
    <row r="483" spans="1:10">
      <c r="A483" s="242"/>
      <c r="B483" s="1197"/>
      <c r="C483" s="1197"/>
      <c r="D483" s="317"/>
      <c r="E483" s="1197"/>
      <c r="F483" s="736"/>
      <c r="G483" s="736"/>
      <c r="H483" s="736"/>
      <c r="I483" s="736"/>
      <c r="J483" s="1200"/>
    </row>
    <row r="484" spans="1:10">
      <c r="A484" s="242"/>
      <c r="B484" s="1197"/>
      <c r="C484" s="1197"/>
      <c r="D484" s="317"/>
      <c r="E484" s="1197"/>
      <c r="F484" s="736"/>
      <c r="G484" s="736"/>
      <c r="H484" s="736"/>
      <c r="I484" s="736"/>
      <c r="J484" s="1200"/>
    </row>
    <row r="485" spans="1:10">
      <c r="A485" s="242"/>
      <c r="B485" s="1197"/>
      <c r="C485" s="1197"/>
      <c r="D485" s="317"/>
      <c r="E485" s="1197"/>
      <c r="F485" s="736"/>
      <c r="G485" s="736"/>
      <c r="H485" s="736"/>
      <c r="I485" s="736"/>
      <c r="J485" s="1200"/>
    </row>
    <row r="486" spans="1:10">
      <c r="A486" s="242"/>
      <c r="B486" s="1197"/>
      <c r="C486" s="1197"/>
      <c r="D486" s="317"/>
      <c r="E486" s="1197"/>
      <c r="F486" s="736"/>
      <c r="G486" s="736"/>
      <c r="H486" s="736"/>
      <c r="I486" s="736"/>
      <c r="J486" s="1200"/>
    </row>
    <row r="487" spans="1:10">
      <c r="A487" s="242"/>
      <c r="B487" s="1197"/>
      <c r="C487" s="1197"/>
      <c r="D487" s="317"/>
      <c r="E487" s="1197"/>
      <c r="F487" s="736"/>
      <c r="G487" s="736"/>
      <c r="H487" s="736"/>
      <c r="I487" s="736"/>
      <c r="J487" s="1200"/>
    </row>
    <row r="488" spans="1:10">
      <c r="A488" s="242"/>
      <c r="B488" s="1197"/>
      <c r="C488" s="1197"/>
      <c r="D488" s="317"/>
      <c r="E488" s="1197"/>
      <c r="F488" s="736"/>
      <c r="G488" s="736"/>
      <c r="H488" s="736"/>
      <c r="I488" s="736"/>
      <c r="J488" s="1200"/>
    </row>
    <row r="489" spans="1:10">
      <c r="A489" s="242"/>
      <c r="B489" s="1197"/>
      <c r="C489" s="1197"/>
      <c r="D489" s="317"/>
      <c r="E489" s="1197"/>
      <c r="F489" s="736"/>
      <c r="G489" s="736"/>
      <c r="H489" s="736"/>
      <c r="I489" s="736"/>
      <c r="J489" s="1200"/>
    </row>
    <row r="490" spans="1:10">
      <c r="A490" s="242"/>
      <c r="B490" s="1197"/>
      <c r="C490" s="1197"/>
      <c r="D490" s="317"/>
      <c r="E490" s="1197"/>
      <c r="F490" s="736"/>
      <c r="G490" s="736"/>
      <c r="H490" s="736"/>
      <c r="I490" s="736"/>
      <c r="J490" s="1200"/>
    </row>
    <row r="491" spans="1:10">
      <c r="A491" s="242"/>
      <c r="B491" s="1197"/>
      <c r="C491" s="1197"/>
      <c r="D491" s="317"/>
      <c r="E491" s="1197"/>
      <c r="F491" s="736"/>
      <c r="G491" s="736"/>
      <c r="H491" s="736"/>
      <c r="I491" s="736"/>
      <c r="J491" s="1200"/>
    </row>
    <row r="492" spans="1:10">
      <c r="A492" s="242"/>
      <c r="B492" s="1197"/>
      <c r="C492" s="1197"/>
      <c r="D492" s="317"/>
      <c r="E492" s="1197"/>
      <c r="F492" s="736"/>
      <c r="G492" s="736"/>
      <c r="H492" s="736"/>
      <c r="I492" s="736"/>
      <c r="J492" s="1200"/>
    </row>
    <row r="493" spans="1:10">
      <c r="A493" s="242"/>
      <c r="B493" s="1197"/>
      <c r="C493" s="1197"/>
      <c r="D493" s="317"/>
      <c r="E493" s="1197"/>
      <c r="F493" s="736"/>
      <c r="G493" s="736"/>
      <c r="H493" s="736"/>
      <c r="I493" s="736"/>
      <c r="J493" s="1200"/>
    </row>
    <row r="494" spans="1:10">
      <c r="A494" s="242"/>
      <c r="B494" s="1197"/>
      <c r="C494" s="1197"/>
      <c r="D494" s="317"/>
      <c r="E494" s="1197"/>
      <c r="F494" s="736"/>
      <c r="G494" s="736"/>
      <c r="H494" s="736"/>
      <c r="I494" s="736"/>
      <c r="J494" s="1200"/>
    </row>
    <row r="495" spans="1:10">
      <c r="A495" s="242"/>
      <c r="B495" s="1197"/>
      <c r="C495" s="1197"/>
      <c r="D495" s="317"/>
      <c r="E495" s="1197"/>
      <c r="F495" s="736"/>
      <c r="G495" s="736"/>
      <c r="H495" s="736"/>
      <c r="I495" s="736"/>
      <c r="J495" s="1200"/>
    </row>
    <row r="496" spans="1:10">
      <c r="A496" s="242"/>
      <c r="B496" s="1197"/>
      <c r="C496" s="1197"/>
      <c r="D496" s="317"/>
      <c r="E496" s="1197"/>
      <c r="F496" s="736"/>
      <c r="G496" s="736"/>
      <c r="H496" s="736"/>
      <c r="I496" s="736"/>
      <c r="J496" s="1200"/>
    </row>
    <row r="497" spans="1:10">
      <c r="A497" s="242"/>
      <c r="B497" s="1197"/>
      <c r="C497" s="1197"/>
      <c r="D497" s="317"/>
      <c r="E497" s="1197"/>
      <c r="F497" s="736"/>
      <c r="G497" s="736"/>
      <c r="H497" s="736"/>
      <c r="I497" s="736"/>
      <c r="J497" s="1200"/>
    </row>
    <row r="498" spans="1:10">
      <c r="A498" s="242"/>
      <c r="B498" s="1197"/>
      <c r="C498" s="1197"/>
      <c r="D498" s="317"/>
      <c r="E498" s="1197"/>
      <c r="F498" s="736"/>
      <c r="G498" s="736"/>
      <c r="H498" s="736"/>
      <c r="I498" s="736"/>
      <c r="J498" s="1200"/>
    </row>
    <row r="499" spans="1:10">
      <c r="A499" s="242"/>
      <c r="B499" s="1197"/>
      <c r="C499" s="1197"/>
      <c r="D499" s="317"/>
      <c r="E499" s="1197"/>
      <c r="F499" s="736"/>
      <c r="G499" s="736"/>
      <c r="H499" s="736"/>
      <c r="I499" s="736"/>
      <c r="J499" s="1200"/>
    </row>
    <row r="500" spans="1:10">
      <c r="A500" s="242"/>
      <c r="B500" s="1197"/>
      <c r="C500" s="1197"/>
      <c r="D500" s="317"/>
      <c r="E500" s="1197"/>
      <c r="F500" s="736"/>
      <c r="G500" s="736"/>
      <c r="H500" s="736"/>
      <c r="I500" s="736"/>
      <c r="J500" s="1200"/>
    </row>
    <row r="501" spans="1:10">
      <c r="A501" s="242"/>
      <c r="B501" s="1197"/>
      <c r="C501" s="1197"/>
      <c r="D501" s="317"/>
      <c r="E501" s="1197"/>
      <c r="F501" s="736"/>
      <c r="G501" s="736"/>
      <c r="H501" s="736"/>
      <c r="I501" s="736"/>
      <c r="J501" s="1200"/>
    </row>
    <row r="502" spans="1:10">
      <c r="A502" s="242"/>
      <c r="B502" s="1197"/>
      <c r="C502" s="1197"/>
      <c r="D502" s="317"/>
      <c r="E502" s="1197"/>
      <c r="F502" s="736"/>
      <c r="G502" s="736"/>
      <c r="H502" s="736"/>
      <c r="I502" s="736"/>
      <c r="J502" s="1200"/>
    </row>
    <row r="503" spans="1:10">
      <c r="A503" s="242"/>
      <c r="B503" s="1197"/>
      <c r="C503" s="1197"/>
      <c r="D503" s="317"/>
      <c r="E503" s="1197"/>
      <c r="F503" s="736"/>
      <c r="G503" s="736"/>
      <c r="H503" s="736"/>
      <c r="I503" s="736"/>
      <c r="J503" s="1200"/>
    </row>
    <row r="504" spans="1:10">
      <c r="A504" s="242"/>
      <c r="B504" s="1197"/>
      <c r="C504" s="1197"/>
      <c r="D504" s="317"/>
      <c r="E504" s="1197"/>
      <c r="F504" s="736"/>
      <c r="G504" s="736"/>
      <c r="H504" s="736"/>
      <c r="I504" s="736"/>
      <c r="J504" s="1200"/>
    </row>
    <row r="505" spans="1:10">
      <c r="A505" s="242"/>
      <c r="B505" s="1197"/>
      <c r="C505" s="1197"/>
      <c r="D505" s="317"/>
      <c r="E505" s="1197"/>
      <c r="F505" s="736"/>
      <c r="G505" s="736"/>
      <c r="H505" s="736"/>
      <c r="I505" s="736"/>
      <c r="J505" s="1200"/>
    </row>
    <row r="506" spans="1:10">
      <c r="A506" s="242"/>
      <c r="B506" s="1197"/>
      <c r="C506" s="1197"/>
      <c r="D506" s="317"/>
      <c r="E506" s="1197"/>
      <c r="F506" s="736"/>
      <c r="G506" s="736"/>
      <c r="H506" s="736"/>
      <c r="I506" s="736"/>
      <c r="J506" s="1200"/>
    </row>
    <row r="507" spans="1:10">
      <c r="A507" s="242"/>
      <c r="B507" s="1197"/>
      <c r="C507" s="1197"/>
      <c r="D507" s="317"/>
      <c r="E507" s="1197"/>
      <c r="F507" s="736"/>
      <c r="G507" s="736"/>
      <c r="H507" s="736"/>
      <c r="I507" s="736"/>
      <c r="J507" s="1200"/>
    </row>
    <row r="508" spans="1:10">
      <c r="A508" s="242"/>
      <c r="B508" s="1197"/>
      <c r="C508" s="1197"/>
      <c r="D508" s="317"/>
      <c r="E508" s="1197"/>
      <c r="F508" s="736"/>
      <c r="G508" s="736"/>
      <c r="H508" s="736"/>
      <c r="I508" s="736"/>
      <c r="J508" s="1200"/>
    </row>
    <row r="509" spans="1:10">
      <c r="A509" s="242"/>
      <c r="B509" s="1197"/>
      <c r="C509" s="1197"/>
      <c r="D509" s="317"/>
      <c r="E509" s="1197"/>
      <c r="F509" s="736"/>
      <c r="G509" s="736"/>
      <c r="H509" s="736"/>
      <c r="I509" s="736"/>
      <c r="J509" s="1200"/>
    </row>
    <row r="510" spans="1:10">
      <c r="A510" s="242"/>
      <c r="B510" s="1197"/>
      <c r="C510" s="1197"/>
      <c r="D510" s="317"/>
      <c r="E510" s="1197"/>
      <c r="F510" s="736"/>
      <c r="G510" s="736"/>
      <c r="H510" s="736"/>
      <c r="I510" s="736"/>
      <c r="J510" s="1200"/>
    </row>
    <row r="511" spans="1:10">
      <c r="A511" s="242"/>
      <c r="B511" s="1197"/>
      <c r="C511" s="1197"/>
      <c r="D511" s="317"/>
      <c r="E511" s="1197"/>
      <c r="F511" s="736"/>
      <c r="G511" s="736"/>
      <c r="H511" s="736"/>
      <c r="I511" s="736"/>
      <c r="J511" s="1200"/>
    </row>
    <row r="512" spans="1:10">
      <c r="A512" s="242"/>
      <c r="B512" s="1197"/>
      <c r="C512" s="1197"/>
      <c r="D512" s="317"/>
      <c r="E512" s="1197"/>
      <c r="F512" s="736"/>
      <c r="G512" s="736"/>
      <c r="H512" s="736"/>
      <c r="I512" s="736"/>
      <c r="J512" s="1200"/>
    </row>
    <row r="513" spans="1:10">
      <c r="A513" s="242"/>
      <c r="B513" s="1197"/>
      <c r="C513" s="1197"/>
      <c r="D513" s="317"/>
      <c r="E513" s="1197"/>
      <c r="F513" s="736"/>
      <c r="G513" s="736"/>
      <c r="H513" s="736"/>
      <c r="I513" s="736"/>
      <c r="J513" s="1200"/>
    </row>
    <row r="514" spans="1:10">
      <c r="A514" s="242"/>
      <c r="B514" s="1197"/>
      <c r="C514" s="1197"/>
      <c r="D514" s="317"/>
      <c r="E514" s="1197"/>
      <c r="F514" s="736"/>
      <c r="G514" s="736"/>
      <c r="H514" s="736"/>
      <c r="I514" s="736"/>
      <c r="J514" s="1200"/>
    </row>
    <row r="515" spans="1:10">
      <c r="A515" s="242"/>
      <c r="B515" s="1197"/>
      <c r="C515" s="1197"/>
      <c r="D515" s="317"/>
      <c r="E515" s="1197"/>
      <c r="F515" s="736"/>
      <c r="G515" s="736"/>
      <c r="H515" s="736"/>
      <c r="I515" s="736"/>
      <c r="J515" s="1200"/>
    </row>
    <row r="516" spans="1:10">
      <c r="A516" s="242"/>
      <c r="B516" s="1197"/>
      <c r="C516" s="1197"/>
      <c r="D516" s="317"/>
      <c r="E516" s="1197"/>
      <c r="F516" s="736"/>
      <c r="G516" s="736"/>
      <c r="H516" s="736"/>
      <c r="I516" s="736"/>
      <c r="J516" s="1200"/>
    </row>
    <row r="517" spans="1:10">
      <c r="A517" s="242"/>
      <c r="B517" s="1197"/>
      <c r="C517" s="1197"/>
      <c r="D517" s="317"/>
      <c r="E517" s="1197"/>
      <c r="F517" s="736"/>
      <c r="G517" s="736"/>
      <c r="H517" s="736"/>
      <c r="I517" s="736"/>
      <c r="J517" s="1200"/>
    </row>
    <row r="518" spans="1:10">
      <c r="A518" s="242"/>
      <c r="B518" s="1197"/>
      <c r="C518" s="1197"/>
      <c r="D518" s="317"/>
      <c r="E518" s="1197"/>
      <c r="F518" s="736"/>
      <c r="G518" s="736"/>
      <c r="H518" s="736"/>
      <c r="I518" s="736"/>
      <c r="J518" s="1200"/>
    </row>
    <row r="519" spans="1:10">
      <c r="A519" s="242"/>
      <c r="B519" s="1197"/>
      <c r="C519" s="1197"/>
      <c r="D519" s="317"/>
      <c r="E519" s="1197"/>
      <c r="F519" s="736"/>
      <c r="G519" s="736"/>
      <c r="H519" s="736"/>
      <c r="I519" s="736"/>
      <c r="J519" s="1200"/>
    </row>
    <row r="520" spans="1:10">
      <c r="A520" s="242"/>
      <c r="B520" s="1197"/>
      <c r="C520" s="1197"/>
      <c r="D520" s="317"/>
      <c r="E520" s="1197"/>
      <c r="F520" s="736"/>
      <c r="G520" s="736"/>
      <c r="H520" s="736"/>
      <c r="I520" s="736"/>
      <c r="J520" s="1200"/>
    </row>
    <row r="521" spans="1:10">
      <c r="A521" s="242"/>
      <c r="B521" s="1197"/>
      <c r="C521" s="1197"/>
      <c r="D521" s="317"/>
      <c r="E521" s="1197"/>
      <c r="F521" s="736"/>
      <c r="G521" s="736"/>
      <c r="H521" s="736"/>
      <c r="I521" s="736"/>
      <c r="J521" s="1200"/>
    </row>
    <row r="522" spans="1:10">
      <c r="A522" s="242"/>
      <c r="B522" s="1197"/>
      <c r="C522" s="1197"/>
      <c r="D522" s="317"/>
      <c r="E522" s="1197"/>
      <c r="F522" s="736"/>
      <c r="G522" s="736"/>
      <c r="H522" s="736"/>
      <c r="I522" s="736"/>
      <c r="J522" s="1200"/>
    </row>
    <row r="523" spans="1:10">
      <c r="A523" s="242"/>
      <c r="B523" s="1197"/>
      <c r="C523" s="1197"/>
      <c r="D523" s="317"/>
      <c r="E523" s="1197"/>
      <c r="F523" s="736"/>
      <c r="G523" s="736"/>
      <c r="H523" s="736"/>
      <c r="I523" s="736"/>
      <c r="J523" s="1200"/>
    </row>
    <row r="524" spans="1:10">
      <c r="A524" s="242"/>
      <c r="B524" s="1197"/>
      <c r="C524" s="1197"/>
      <c r="D524" s="317"/>
      <c r="E524" s="1197"/>
      <c r="F524" s="736"/>
      <c r="G524" s="736"/>
      <c r="H524" s="736"/>
      <c r="I524" s="736"/>
      <c r="J524" s="1200"/>
    </row>
    <row r="525" spans="1:10">
      <c r="A525" s="242"/>
      <c r="B525" s="1197"/>
      <c r="C525" s="1197"/>
      <c r="D525" s="317"/>
      <c r="E525" s="1197"/>
      <c r="F525" s="736"/>
      <c r="G525" s="736"/>
      <c r="H525" s="736"/>
      <c r="I525" s="736"/>
      <c r="J525" s="1200"/>
    </row>
    <row r="526" spans="1:10">
      <c r="A526" s="242"/>
      <c r="B526" s="1197"/>
      <c r="C526" s="1197"/>
      <c r="D526" s="317"/>
      <c r="E526" s="1197"/>
      <c r="F526" s="736"/>
      <c r="G526" s="736"/>
      <c r="H526" s="736"/>
      <c r="I526" s="736"/>
      <c r="J526" s="1200"/>
    </row>
    <row r="527" spans="1:10">
      <c r="A527" s="242"/>
      <c r="B527" s="1197"/>
      <c r="C527" s="1197"/>
      <c r="D527" s="317"/>
      <c r="E527" s="1197"/>
      <c r="F527" s="736"/>
      <c r="G527" s="736"/>
      <c r="H527" s="736"/>
      <c r="I527" s="736"/>
      <c r="J527" s="1200"/>
    </row>
    <row r="528" spans="1:10">
      <c r="A528" s="242"/>
      <c r="B528" s="1197"/>
      <c r="C528" s="1197"/>
      <c r="D528" s="317"/>
      <c r="E528" s="1197"/>
      <c r="F528" s="736"/>
      <c r="G528" s="736"/>
      <c r="H528" s="736"/>
      <c r="I528" s="736"/>
      <c r="J528" s="1200"/>
    </row>
    <row r="529" spans="1:10">
      <c r="A529" s="242"/>
      <c r="B529" s="1197"/>
      <c r="C529" s="1197"/>
      <c r="D529" s="317"/>
      <c r="E529" s="1197"/>
      <c r="F529" s="736"/>
      <c r="G529" s="736"/>
      <c r="H529" s="736"/>
      <c r="I529" s="736"/>
      <c r="J529" s="1200"/>
    </row>
    <row r="530" spans="1:10">
      <c r="A530" s="242"/>
      <c r="B530" s="1197"/>
      <c r="C530" s="1197"/>
      <c r="D530" s="317"/>
      <c r="E530" s="1197"/>
      <c r="F530" s="736"/>
      <c r="G530" s="736"/>
      <c r="H530" s="736"/>
      <c r="I530" s="736"/>
      <c r="J530" s="1200"/>
    </row>
    <row r="531" spans="1:10">
      <c r="A531" s="242"/>
      <c r="B531" s="1197"/>
      <c r="C531" s="1197"/>
      <c r="D531" s="317"/>
      <c r="E531" s="1197"/>
      <c r="F531" s="736"/>
      <c r="G531" s="736"/>
      <c r="H531" s="736"/>
      <c r="I531" s="736"/>
      <c r="J531" s="1200"/>
    </row>
    <row r="532" spans="1:10">
      <c r="A532" s="242"/>
      <c r="B532" s="1197"/>
      <c r="C532" s="1197"/>
      <c r="D532" s="317"/>
      <c r="E532" s="1197"/>
      <c r="F532" s="736"/>
      <c r="G532" s="736"/>
      <c r="H532" s="736"/>
      <c r="I532" s="736"/>
      <c r="J532" s="1200"/>
    </row>
    <row r="533" spans="1:10">
      <c r="A533" s="242"/>
      <c r="B533" s="1197"/>
      <c r="C533" s="1197"/>
      <c r="D533" s="317"/>
      <c r="E533" s="1197"/>
      <c r="F533" s="736"/>
      <c r="G533" s="736"/>
      <c r="H533" s="736"/>
      <c r="I533" s="736"/>
      <c r="J533" s="1200"/>
    </row>
    <row r="534" spans="1:10">
      <c r="A534" s="242"/>
      <c r="B534" s="1197"/>
      <c r="C534" s="1197"/>
      <c r="D534" s="317"/>
      <c r="E534" s="1197"/>
      <c r="F534" s="736"/>
      <c r="G534" s="736"/>
      <c r="H534" s="736"/>
      <c r="I534" s="736"/>
      <c r="J534" s="1200"/>
    </row>
    <row r="535" spans="1:10">
      <c r="A535" s="242"/>
      <c r="B535" s="1197"/>
      <c r="C535" s="1197"/>
      <c r="D535" s="317"/>
      <c r="E535" s="1197"/>
      <c r="F535" s="736"/>
      <c r="G535" s="736"/>
      <c r="H535" s="736"/>
      <c r="I535" s="736"/>
      <c r="J535" s="1200"/>
    </row>
    <row r="536" spans="1:10">
      <c r="A536" s="242"/>
      <c r="B536" s="1197"/>
      <c r="C536" s="1197"/>
      <c r="D536" s="317"/>
      <c r="E536" s="1197"/>
      <c r="F536" s="736"/>
      <c r="G536" s="736"/>
      <c r="H536" s="736"/>
      <c r="I536" s="736"/>
      <c r="J536" s="1200"/>
    </row>
    <row r="537" spans="1:10">
      <c r="A537" s="242"/>
      <c r="B537" s="1197"/>
      <c r="C537" s="1197"/>
      <c r="D537" s="317"/>
      <c r="E537" s="1197"/>
      <c r="F537" s="736"/>
      <c r="G537" s="736"/>
      <c r="H537" s="736"/>
      <c r="I537" s="736"/>
      <c r="J537" s="1200"/>
    </row>
    <row r="538" spans="1:10">
      <c r="A538" s="242"/>
      <c r="B538" s="1197"/>
      <c r="C538" s="1197"/>
      <c r="D538" s="317"/>
      <c r="E538" s="1197"/>
      <c r="F538" s="736"/>
      <c r="G538" s="736"/>
      <c r="H538" s="736"/>
      <c r="I538" s="736"/>
      <c r="J538" s="1200"/>
    </row>
    <row r="539" spans="1:10">
      <c r="A539" s="242"/>
      <c r="B539" s="1197"/>
      <c r="C539" s="1197"/>
      <c r="D539" s="317"/>
      <c r="E539" s="1197"/>
      <c r="F539" s="736"/>
      <c r="G539" s="736"/>
      <c r="H539" s="736"/>
      <c r="I539" s="736"/>
      <c r="J539" s="1200"/>
    </row>
    <row r="540" spans="1:10">
      <c r="A540" s="242"/>
      <c r="B540" s="1197"/>
      <c r="C540" s="1197"/>
      <c r="D540" s="317"/>
      <c r="E540" s="1197"/>
      <c r="F540" s="736"/>
      <c r="G540" s="736"/>
      <c r="H540" s="736"/>
      <c r="I540" s="736"/>
      <c r="J540" s="1200"/>
    </row>
    <row r="541" spans="1:10">
      <c r="A541" s="242"/>
      <c r="B541" s="1197"/>
      <c r="C541" s="1197"/>
      <c r="D541" s="317"/>
      <c r="E541" s="1197"/>
      <c r="F541" s="736"/>
      <c r="G541" s="736"/>
      <c r="H541" s="736"/>
      <c r="I541" s="736"/>
      <c r="J541" s="1200"/>
    </row>
    <row r="542" spans="1:10">
      <c r="A542" s="242"/>
      <c r="B542" s="1197"/>
      <c r="C542" s="1197"/>
      <c r="D542" s="317"/>
      <c r="E542" s="1197"/>
      <c r="F542" s="736"/>
      <c r="G542" s="736"/>
      <c r="H542" s="736"/>
      <c r="I542" s="736"/>
      <c r="J542" s="1200"/>
    </row>
    <row r="543" spans="1:10">
      <c r="A543" s="242"/>
      <c r="B543" s="1197"/>
      <c r="C543" s="1197"/>
      <c r="D543" s="317"/>
      <c r="E543" s="1197"/>
      <c r="F543" s="736"/>
      <c r="G543" s="736"/>
      <c r="H543" s="736"/>
      <c r="I543" s="736"/>
      <c r="J543" s="1200"/>
    </row>
    <row r="544" spans="1:10">
      <c r="A544" s="242"/>
      <c r="B544" s="1197"/>
      <c r="C544" s="1197"/>
      <c r="D544" s="317"/>
      <c r="E544" s="1197"/>
      <c r="F544" s="736"/>
      <c r="G544" s="736"/>
      <c r="H544" s="736"/>
      <c r="I544" s="736"/>
      <c r="J544" s="1200"/>
    </row>
    <row r="545" spans="1:10">
      <c r="A545" s="242"/>
      <c r="B545" s="1197"/>
      <c r="C545" s="1197"/>
      <c r="D545" s="317"/>
      <c r="E545" s="1197"/>
      <c r="F545" s="736"/>
      <c r="G545" s="736"/>
      <c r="H545" s="736"/>
      <c r="I545" s="736"/>
      <c r="J545" s="1200"/>
    </row>
    <row r="546" spans="1:10">
      <c r="A546" s="242"/>
      <c r="B546" s="1197"/>
      <c r="C546" s="1197"/>
      <c r="D546" s="317"/>
      <c r="E546" s="1197"/>
      <c r="F546" s="736"/>
      <c r="G546" s="736"/>
      <c r="H546" s="736"/>
      <c r="I546" s="736"/>
      <c r="J546" s="1200"/>
    </row>
    <row r="547" spans="1:10">
      <c r="A547" s="242"/>
      <c r="B547" s="1197"/>
      <c r="C547" s="1197"/>
      <c r="D547" s="317"/>
      <c r="E547" s="1197"/>
      <c r="F547" s="736"/>
      <c r="G547" s="736"/>
      <c r="H547" s="736"/>
      <c r="I547" s="736"/>
      <c r="J547" s="1200"/>
    </row>
    <row r="548" spans="1:10">
      <c r="A548" s="242"/>
      <c r="B548" s="1197"/>
      <c r="C548" s="1197"/>
      <c r="D548" s="317"/>
      <c r="E548" s="1197"/>
      <c r="F548" s="736"/>
      <c r="G548" s="736"/>
      <c r="H548" s="736"/>
      <c r="I548" s="736"/>
      <c r="J548" s="1200"/>
    </row>
    <row r="549" spans="1:10">
      <c r="A549" s="242"/>
      <c r="B549" s="1197"/>
      <c r="C549" s="1197"/>
      <c r="D549" s="317"/>
      <c r="E549" s="1197"/>
      <c r="F549" s="736"/>
      <c r="G549" s="736"/>
      <c r="H549" s="736"/>
      <c r="I549" s="736"/>
      <c r="J549" s="1200"/>
    </row>
    <row r="550" spans="1:10">
      <c r="A550" s="242"/>
      <c r="B550" s="1197"/>
      <c r="C550" s="1197"/>
      <c r="D550" s="317"/>
      <c r="E550" s="1197"/>
      <c r="F550" s="736"/>
      <c r="G550" s="736"/>
      <c r="H550" s="736"/>
      <c r="I550" s="736"/>
      <c r="J550" s="1200"/>
    </row>
    <row r="551" spans="1:10">
      <c r="A551" s="242"/>
      <c r="B551" s="1197"/>
      <c r="C551" s="1197"/>
      <c r="D551" s="317"/>
      <c r="E551" s="1197"/>
      <c r="F551" s="736"/>
      <c r="G551" s="736"/>
      <c r="H551" s="736"/>
      <c r="I551" s="736"/>
      <c r="J551" s="1200"/>
    </row>
    <row r="552" spans="1:10">
      <c r="A552" s="242"/>
      <c r="B552" s="1197"/>
      <c r="C552" s="1197"/>
      <c r="D552" s="317"/>
      <c r="E552" s="1197"/>
      <c r="F552" s="736"/>
      <c r="G552" s="736"/>
      <c r="H552" s="736"/>
      <c r="I552" s="736"/>
      <c r="J552" s="1200"/>
    </row>
    <row r="553" spans="1:10">
      <c r="A553" s="242"/>
      <c r="B553" s="1197"/>
      <c r="C553" s="1197"/>
      <c r="D553" s="317"/>
      <c r="E553" s="1197"/>
      <c r="F553" s="736"/>
      <c r="G553" s="736"/>
      <c r="H553" s="736"/>
      <c r="I553" s="736"/>
      <c r="J553" s="1200"/>
    </row>
    <row r="554" spans="1:10">
      <c r="A554" s="242"/>
      <c r="B554" s="1197"/>
      <c r="C554" s="1197"/>
      <c r="D554" s="317"/>
      <c r="E554" s="1197"/>
      <c r="F554" s="736"/>
      <c r="G554" s="736"/>
      <c r="H554" s="736"/>
      <c r="I554" s="736"/>
      <c r="J554" s="1200"/>
    </row>
    <row r="555" spans="1:10">
      <c r="A555" s="242"/>
      <c r="B555" s="1197"/>
      <c r="C555" s="1197"/>
      <c r="D555" s="317"/>
      <c r="E555" s="1197"/>
      <c r="F555" s="736"/>
      <c r="G555" s="736"/>
      <c r="H555" s="736"/>
      <c r="I555" s="736"/>
      <c r="J555" s="1200"/>
    </row>
    <row r="556" spans="1:10">
      <c r="A556" s="242"/>
      <c r="B556" s="1197"/>
      <c r="C556" s="1197"/>
      <c r="D556" s="317"/>
      <c r="E556" s="1197"/>
      <c r="F556" s="736"/>
      <c r="G556" s="736"/>
      <c r="H556" s="736"/>
      <c r="I556" s="736"/>
      <c r="J556" s="1200"/>
    </row>
    <row r="557" spans="1:10">
      <c r="A557" s="242"/>
      <c r="B557" s="1197"/>
      <c r="C557" s="1197"/>
      <c r="D557" s="317"/>
      <c r="E557" s="1197"/>
      <c r="F557" s="736"/>
      <c r="G557" s="736"/>
      <c r="H557" s="736"/>
      <c r="I557" s="736"/>
      <c r="J557" s="1200"/>
    </row>
    <row r="558" spans="1:10">
      <c r="A558" s="242"/>
      <c r="B558" s="1197"/>
      <c r="C558" s="1197"/>
      <c r="D558" s="317"/>
      <c r="E558" s="1197"/>
      <c r="F558" s="736"/>
      <c r="G558" s="736"/>
      <c r="H558" s="736"/>
      <c r="I558" s="736"/>
      <c r="J558" s="1200"/>
    </row>
    <row r="559" spans="1:10">
      <c r="A559" s="242"/>
      <c r="B559" s="1197"/>
      <c r="C559" s="1197"/>
      <c r="D559" s="317"/>
      <c r="E559" s="1197"/>
      <c r="F559" s="736"/>
      <c r="G559" s="736"/>
      <c r="H559" s="736"/>
      <c r="I559" s="736"/>
      <c r="J559" s="1200"/>
    </row>
    <row r="560" spans="1:10">
      <c r="A560" s="242"/>
      <c r="B560" s="1197"/>
      <c r="C560" s="1197"/>
      <c r="D560" s="317"/>
      <c r="E560" s="1197"/>
      <c r="F560" s="736"/>
      <c r="G560" s="736"/>
      <c r="H560" s="736"/>
      <c r="I560" s="736"/>
      <c r="J560" s="1200"/>
    </row>
    <row r="561" spans="1:10">
      <c r="A561" s="242"/>
      <c r="B561" s="1197"/>
      <c r="C561" s="1197"/>
      <c r="D561" s="317"/>
      <c r="E561" s="1197"/>
      <c r="F561" s="736"/>
      <c r="G561" s="736"/>
      <c r="H561" s="736"/>
      <c r="I561" s="736"/>
      <c r="J561" s="1200"/>
    </row>
    <row r="562" spans="1:10">
      <c r="A562" s="242"/>
      <c r="B562" s="1197"/>
      <c r="C562" s="1197"/>
      <c r="D562" s="317"/>
      <c r="E562" s="1197"/>
      <c r="F562" s="736"/>
      <c r="G562" s="736"/>
      <c r="H562" s="736"/>
      <c r="I562" s="736"/>
      <c r="J562" s="1200"/>
    </row>
    <row r="563" spans="1:10">
      <c r="A563" s="242"/>
      <c r="B563" s="1197"/>
      <c r="C563" s="1197"/>
      <c r="D563" s="317"/>
      <c r="E563" s="1197"/>
      <c r="F563" s="736"/>
      <c r="G563" s="736"/>
      <c r="H563" s="736"/>
      <c r="I563" s="736"/>
      <c r="J563" s="1200"/>
    </row>
    <row r="564" spans="1:10">
      <c r="A564" s="242"/>
      <c r="B564" s="1197"/>
      <c r="C564" s="1197"/>
      <c r="D564" s="317"/>
      <c r="E564" s="1197"/>
      <c r="F564" s="736"/>
      <c r="G564" s="736"/>
      <c r="H564" s="736"/>
      <c r="I564" s="736"/>
      <c r="J564" s="1200"/>
    </row>
    <row r="565" spans="1:10">
      <c r="A565" s="242"/>
      <c r="B565" s="1197"/>
      <c r="C565" s="1197"/>
      <c r="D565" s="317"/>
      <c r="E565" s="1197"/>
      <c r="F565" s="736"/>
      <c r="G565" s="736"/>
      <c r="H565" s="736"/>
      <c r="I565" s="736"/>
      <c r="J565" s="1200"/>
    </row>
    <row r="566" spans="1:10">
      <c r="A566" s="242"/>
      <c r="B566" s="1197"/>
      <c r="C566" s="1197"/>
      <c r="D566" s="317"/>
      <c r="E566" s="1197"/>
      <c r="F566" s="736"/>
      <c r="G566" s="736"/>
      <c r="H566" s="736"/>
      <c r="I566" s="736"/>
      <c r="J566" s="1200"/>
    </row>
    <row r="567" spans="1:10">
      <c r="A567" s="242"/>
      <c r="B567" s="1197"/>
      <c r="C567" s="1197"/>
      <c r="D567" s="317"/>
      <c r="E567" s="1197"/>
      <c r="F567" s="736"/>
      <c r="G567" s="736"/>
      <c r="H567" s="736"/>
      <c r="I567" s="736"/>
      <c r="J567" s="1200"/>
    </row>
    <row r="568" spans="1:10">
      <c r="A568" s="242"/>
      <c r="B568" s="1197"/>
      <c r="C568" s="1197"/>
      <c r="D568" s="317"/>
      <c r="E568" s="1197"/>
      <c r="F568" s="736"/>
      <c r="G568" s="736"/>
      <c r="H568" s="736"/>
      <c r="I568" s="736"/>
      <c r="J568" s="1200"/>
    </row>
    <row r="569" spans="1:10">
      <c r="A569" s="242"/>
      <c r="B569" s="1197"/>
      <c r="C569" s="1197"/>
      <c r="D569" s="317"/>
      <c r="E569" s="1197"/>
      <c r="F569" s="736"/>
      <c r="G569" s="736"/>
      <c r="H569" s="736"/>
      <c r="I569" s="736"/>
      <c r="J569" s="1200"/>
    </row>
    <row r="570" spans="1:10">
      <c r="A570" s="242"/>
      <c r="B570" s="1197"/>
      <c r="C570" s="1197"/>
      <c r="D570" s="317"/>
      <c r="E570" s="1197"/>
      <c r="F570" s="736"/>
      <c r="G570" s="736"/>
      <c r="H570" s="736"/>
      <c r="I570" s="736"/>
      <c r="J570" s="1200"/>
    </row>
    <row r="571" spans="1:10">
      <c r="A571" s="242"/>
      <c r="B571" s="1197"/>
      <c r="C571" s="1197"/>
      <c r="D571" s="317"/>
      <c r="E571" s="1197"/>
      <c r="F571" s="736"/>
      <c r="G571" s="736"/>
      <c r="H571" s="736"/>
      <c r="I571" s="736"/>
      <c r="J571" s="1200"/>
    </row>
    <row r="572" spans="1:10">
      <c r="A572" s="242"/>
      <c r="B572" s="1197"/>
      <c r="C572" s="1197"/>
      <c r="D572" s="317"/>
      <c r="E572" s="1197"/>
      <c r="F572" s="736"/>
      <c r="G572" s="736"/>
      <c r="H572" s="736"/>
      <c r="I572" s="736"/>
      <c r="J572" s="1200"/>
    </row>
    <row r="573" spans="1:10">
      <c r="A573" s="242"/>
      <c r="B573" s="1197"/>
      <c r="C573" s="1197"/>
      <c r="D573" s="317"/>
      <c r="E573" s="1197"/>
      <c r="F573" s="736"/>
      <c r="G573" s="736"/>
      <c r="H573" s="736"/>
      <c r="I573" s="736"/>
      <c r="J573" s="1200"/>
    </row>
    <row r="574" spans="1:10">
      <c r="A574" s="242"/>
      <c r="B574" s="1197"/>
      <c r="C574" s="1197"/>
      <c r="D574" s="317"/>
      <c r="E574" s="1197"/>
      <c r="F574" s="736"/>
      <c r="G574" s="736"/>
      <c r="H574" s="736"/>
      <c r="I574" s="736"/>
      <c r="J574" s="1200"/>
    </row>
    <row r="575" spans="1:10">
      <c r="A575" s="242"/>
      <c r="B575" s="1197"/>
      <c r="C575" s="1197"/>
      <c r="D575" s="317"/>
      <c r="E575" s="1197"/>
      <c r="F575" s="736"/>
      <c r="G575" s="736"/>
      <c r="H575" s="736"/>
      <c r="I575" s="736"/>
      <c r="J575" s="1200"/>
    </row>
    <row r="576" spans="1:10">
      <c r="A576" s="242"/>
      <c r="B576" s="1197"/>
      <c r="C576" s="1197"/>
      <c r="D576" s="317"/>
      <c r="E576" s="1197"/>
      <c r="F576" s="736"/>
      <c r="G576" s="736"/>
      <c r="H576" s="736"/>
      <c r="I576" s="736"/>
      <c r="J576" s="1200"/>
    </row>
    <row r="577" spans="1:14">
      <c r="A577" s="242"/>
      <c r="B577" s="1197"/>
      <c r="C577" s="1197"/>
      <c r="D577" s="317"/>
      <c r="E577" s="1197"/>
      <c r="F577" s="736"/>
      <c r="G577" s="736"/>
      <c r="H577" s="736"/>
      <c r="I577" s="736"/>
      <c r="J577" s="1200"/>
    </row>
    <row r="578" spans="1:14">
      <c r="A578" s="242"/>
      <c r="B578" s="1197"/>
      <c r="C578" s="1197"/>
      <c r="D578" s="317"/>
      <c r="E578" s="1197"/>
      <c r="F578" s="736"/>
      <c r="G578" s="736"/>
      <c r="H578" s="736"/>
      <c r="I578" s="736"/>
      <c r="J578" s="1200"/>
    </row>
    <row r="579" spans="1:14">
      <c r="A579" s="242"/>
      <c r="B579" s="1197"/>
      <c r="C579" s="1197"/>
      <c r="D579" s="317"/>
      <c r="E579" s="1197"/>
      <c r="F579" s="736"/>
      <c r="G579" s="736"/>
      <c r="H579" s="736"/>
      <c r="I579" s="736"/>
      <c r="J579" s="1200"/>
    </row>
    <row r="580" spans="1:14">
      <c r="A580" s="243"/>
      <c r="B580" s="735"/>
      <c r="C580" s="314"/>
      <c r="D580" s="315"/>
      <c r="E580" s="314"/>
      <c r="F580" s="738"/>
      <c r="G580" s="738"/>
      <c r="H580" s="738"/>
      <c r="I580" s="736"/>
      <c r="J580" s="737"/>
    </row>
    <row r="581" spans="1:14" ht="89.25" hidden="1">
      <c r="A581" s="242"/>
      <c r="B581" s="211" t="s">
        <v>1681</v>
      </c>
      <c r="C581" s="1197"/>
      <c r="D581" s="317"/>
      <c r="E581" s="1197"/>
      <c r="F581" s="737"/>
      <c r="G581" s="737"/>
      <c r="H581" s="737"/>
      <c r="I581" s="737"/>
      <c r="J581" s="737"/>
    </row>
    <row r="582" spans="1:14" hidden="1">
      <c r="A582" s="242"/>
      <c r="B582" s="211"/>
      <c r="C582" s="1197"/>
      <c r="D582" s="317"/>
      <c r="E582" s="1197"/>
      <c r="F582" s="737"/>
      <c r="G582" s="737"/>
      <c r="H582" s="737"/>
      <c r="I582" s="737"/>
      <c r="J582" s="737"/>
    </row>
    <row r="583" spans="1:14" hidden="1">
      <c r="A583" s="242"/>
      <c r="B583" s="739" t="s">
        <v>1576</v>
      </c>
      <c r="C583" s="1197"/>
      <c r="D583" s="317"/>
      <c r="E583" s="1197"/>
      <c r="F583" s="737"/>
      <c r="G583" s="737"/>
      <c r="H583" s="737"/>
      <c r="I583" s="737"/>
      <c r="J583" s="737"/>
    </row>
    <row r="584" spans="1:14" hidden="1">
      <c r="A584" s="242"/>
      <c r="B584" s="211"/>
      <c r="C584" s="1197"/>
      <c r="D584" s="342" t="s">
        <v>1705</v>
      </c>
      <c r="E584" s="335"/>
      <c r="F584" s="740" t="s">
        <v>1705</v>
      </c>
      <c r="G584" s="740"/>
      <c r="H584" s="740"/>
      <c r="I584" s="740"/>
    </row>
    <row r="585" spans="1:14" hidden="1">
      <c r="A585" s="242"/>
      <c r="B585" s="211" t="s">
        <v>1577</v>
      </c>
      <c r="C585" s="211"/>
      <c r="D585" s="741">
        <f>105.54+64.72+114.16+31.98+9.66+23.13</f>
        <v>349.19</v>
      </c>
      <c r="E585" s="742"/>
      <c r="F585" s="742">
        <f>105.54+64.72+114.16+31.98+9.66+23.13</f>
        <v>349.19</v>
      </c>
      <c r="G585" s="742"/>
      <c r="H585" s="742"/>
      <c r="I585" s="742"/>
    </row>
    <row r="586" spans="1:14" hidden="1">
      <c r="A586" s="242"/>
      <c r="B586" s="211" t="s">
        <v>1578</v>
      </c>
      <c r="C586" s="211"/>
      <c r="D586" s="741">
        <v>17.18</v>
      </c>
      <c r="E586" s="742"/>
      <c r="F586" s="742">
        <v>17.18</v>
      </c>
      <c r="G586" s="742"/>
      <c r="H586" s="742"/>
      <c r="I586" s="742"/>
    </row>
    <row r="587" spans="1:14" hidden="1">
      <c r="A587" s="242"/>
      <c r="B587" s="211" t="s">
        <v>1579</v>
      </c>
      <c r="C587" s="211"/>
      <c r="D587" s="741">
        <v>-980.91</v>
      </c>
      <c r="E587" s="742"/>
      <c r="F587" s="742">
        <v>-980.91</v>
      </c>
      <c r="G587" s="742"/>
      <c r="H587" s="742"/>
      <c r="I587" s="742"/>
    </row>
    <row r="588" spans="1:14" hidden="1">
      <c r="A588" s="242"/>
      <c r="B588" s="211" t="s">
        <v>1580</v>
      </c>
      <c r="C588" s="211"/>
      <c r="D588" s="741">
        <v>-505.36</v>
      </c>
      <c r="E588" s="742"/>
      <c r="F588" s="742">
        <v>-505.36</v>
      </c>
      <c r="G588" s="742"/>
      <c r="H588" s="742"/>
      <c r="I588" s="742"/>
    </row>
    <row r="589" spans="1:14" hidden="1">
      <c r="A589" s="242"/>
      <c r="B589" s="211" t="s">
        <v>1581</v>
      </c>
      <c r="C589" s="211"/>
      <c r="D589" s="741">
        <v>0</v>
      </c>
      <c r="E589" s="742"/>
      <c r="F589" s="742">
        <v>0</v>
      </c>
      <c r="G589" s="742"/>
      <c r="H589" s="742"/>
      <c r="I589" s="742"/>
    </row>
    <row r="590" spans="1:14" hidden="1">
      <c r="A590" s="242"/>
      <c r="B590" s="211" t="s">
        <v>1582</v>
      </c>
      <c r="C590" s="211"/>
      <c r="D590" s="741">
        <v>0</v>
      </c>
      <c r="E590" s="742"/>
      <c r="F590" s="742">
        <v>0</v>
      </c>
      <c r="G590" s="742"/>
      <c r="H590" s="742"/>
      <c r="I590" s="742"/>
    </row>
    <row r="591" spans="1:14" hidden="1">
      <c r="A591" s="242"/>
      <c r="B591" s="211" t="s">
        <v>1583</v>
      </c>
      <c r="C591" s="211"/>
      <c r="D591" s="741">
        <v>0</v>
      </c>
      <c r="E591" s="742"/>
      <c r="F591" s="742">
        <v>0</v>
      </c>
      <c r="G591" s="742"/>
      <c r="H591" s="742"/>
      <c r="I591" s="742"/>
    </row>
    <row r="592" spans="1:14" hidden="1">
      <c r="A592" s="242"/>
      <c r="B592" s="211" t="s">
        <v>1584</v>
      </c>
      <c r="C592" s="211"/>
      <c r="D592" s="743">
        <v>155.55000000000001</v>
      </c>
      <c r="E592" s="742"/>
      <c r="F592" s="744">
        <v>155.55000000000001</v>
      </c>
      <c r="G592" s="742"/>
      <c r="H592" s="742"/>
      <c r="I592" s="742"/>
      <c r="M592" s="334" t="s">
        <v>36</v>
      </c>
      <c r="N592" s="334" t="s">
        <v>36</v>
      </c>
    </row>
    <row r="593" spans="1:14" ht="13.5" hidden="1" thickBot="1">
      <c r="A593" s="242"/>
      <c r="B593" s="734" t="s">
        <v>1585</v>
      </c>
      <c r="C593" s="1197"/>
      <c r="D593" s="637">
        <f>SUM(D585:D592)</f>
        <v>-964.35000000000014</v>
      </c>
      <c r="E593" s="745"/>
      <c r="F593" s="746">
        <f>SUM(F585:F592)</f>
        <v>-964.35000000000014</v>
      </c>
      <c r="G593" s="737"/>
      <c r="H593" s="737"/>
      <c r="I593" s="737"/>
      <c r="M593" s="334" t="s">
        <v>36</v>
      </c>
      <c r="N593" s="334" t="s">
        <v>36</v>
      </c>
    </row>
    <row r="594" spans="1:14" hidden="1">
      <c r="A594" s="242"/>
      <c r="B594" s="734"/>
      <c r="C594" s="1197"/>
      <c r="D594" s="317"/>
      <c r="E594" s="745"/>
      <c r="F594" s="737"/>
      <c r="G594" s="737"/>
      <c r="H594" s="737"/>
      <c r="I594" s="737"/>
      <c r="N594" s="334" t="s">
        <v>36</v>
      </c>
    </row>
    <row r="595" spans="1:14" ht="38.25" hidden="1">
      <c r="A595" s="242"/>
      <c r="B595" s="211" t="s">
        <v>1707</v>
      </c>
      <c r="C595" s="1197"/>
      <c r="D595" s="317"/>
      <c r="E595" s="745"/>
      <c r="F595" s="737"/>
      <c r="G595" s="737"/>
      <c r="H595" s="737"/>
      <c r="I595" s="737"/>
    </row>
    <row r="596" spans="1:14" hidden="1">
      <c r="A596" s="242"/>
      <c r="B596" s="734"/>
      <c r="C596" s="1197"/>
      <c r="D596" s="317"/>
      <c r="E596" s="745"/>
      <c r="F596" s="737"/>
      <c r="G596" s="737"/>
      <c r="H596" s="737"/>
      <c r="I596" s="737"/>
    </row>
    <row r="597" spans="1:14" ht="25.5" hidden="1">
      <c r="A597" s="242"/>
      <c r="B597" s="211" t="s">
        <v>1706</v>
      </c>
      <c r="C597" s="1197"/>
      <c r="D597" s="317"/>
      <c r="E597" s="745"/>
      <c r="F597" s="737"/>
      <c r="G597" s="737"/>
      <c r="H597" s="737"/>
      <c r="I597" s="737"/>
      <c r="N597" s="334" t="s">
        <v>36</v>
      </c>
    </row>
    <row r="598" spans="1:14" hidden="1">
      <c r="A598" s="242"/>
      <c r="B598" s="734"/>
      <c r="C598" s="1197"/>
      <c r="D598" s="317"/>
      <c r="E598" s="745"/>
      <c r="F598" s="737"/>
      <c r="G598" s="737"/>
      <c r="H598" s="737"/>
      <c r="I598" s="737"/>
    </row>
    <row r="599" spans="1:14" hidden="1">
      <c r="A599" s="242"/>
      <c r="B599" s="739" t="s">
        <v>1586</v>
      </c>
      <c r="C599" s="1197"/>
      <c r="D599" s="317"/>
      <c r="E599" s="745"/>
      <c r="F599" s="737"/>
      <c r="G599" s="737"/>
      <c r="H599" s="737"/>
      <c r="I599" s="737"/>
    </row>
    <row r="600" spans="1:14" hidden="1">
      <c r="A600" s="242"/>
      <c r="B600" s="734"/>
      <c r="C600" s="1197"/>
      <c r="D600" s="286" t="s">
        <v>1287</v>
      </c>
      <c r="E600" s="747"/>
      <c r="F600" s="747" t="s">
        <v>1287</v>
      </c>
      <c r="G600" s="747"/>
      <c r="H600" s="747"/>
      <c r="I600" s="747"/>
    </row>
    <row r="601" spans="1:14" ht="25.5" hidden="1">
      <c r="A601" s="242"/>
      <c r="B601" s="211" t="s">
        <v>1587</v>
      </c>
      <c r="C601" s="211"/>
      <c r="D601" s="317"/>
      <c r="E601" s="748"/>
      <c r="F601" s="749"/>
      <c r="G601" s="749"/>
      <c r="H601" s="749"/>
      <c r="I601" s="749"/>
    </row>
    <row r="602" spans="1:14" hidden="1">
      <c r="A602" s="242"/>
      <c r="B602" s="211" t="s">
        <v>1588</v>
      </c>
      <c r="C602" s="211"/>
      <c r="D602" s="741"/>
      <c r="E602" s="748"/>
      <c r="F602" s="748"/>
      <c r="G602" s="748"/>
      <c r="H602" s="748"/>
      <c r="I602" s="748"/>
    </row>
    <row r="603" spans="1:14" hidden="1">
      <c r="A603" s="242"/>
      <c r="B603" s="211" t="s">
        <v>1579</v>
      </c>
      <c r="C603" s="211"/>
      <c r="D603" s="741"/>
      <c r="E603" s="748"/>
      <c r="F603" s="748"/>
      <c r="G603" s="748"/>
      <c r="H603" s="748"/>
      <c r="I603" s="748"/>
    </row>
    <row r="604" spans="1:14" hidden="1">
      <c r="A604" s="242"/>
      <c r="B604" s="211" t="s">
        <v>1580</v>
      </c>
      <c r="C604" s="211"/>
      <c r="D604" s="741"/>
      <c r="E604" s="748"/>
      <c r="F604" s="748"/>
      <c r="G604" s="748"/>
      <c r="H604" s="748"/>
      <c r="I604" s="748"/>
    </row>
    <row r="605" spans="1:14" hidden="1">
      <c r="A605" s="242"/>
      <c r="B605" s="211" t="s">
        <v>1589</v>
      </c>
      <c r="C605" s="211"/>
      <c r="D605" s="741"/>
      <c r="E605" s="748"/>
      <c r="F605" s="748"/>
      <c r="G605" s="748"/>
      <c r="H605" s="748"/>
      <c r="I605" s="748"/>
    </row>
    <row r="606" spans="1:14" hidden="1">
      <c r="A606" s="242"/>
      <c r="B606" s="211" t="s">
        <v>1590</v>
      </c>
      <c r="C606" s="211"/>
      <c r="D606" s="741"/>
      <c r="E606" s="748"/>
      <c r="F606" s="748"/>
      <c r="G606" s="748"/>
      <c r="H606" s="748"/>
      <c r="I606" s="748"/>
    </row>
    <row r="607" spans="1:14" hidden="1">
      <c r="A607" s="242"/>
      <c r="B607" s="211" t="s">
        <v>1591</v>
      </c>
      <c r="C607" s="211"/>
      <c r="D607" s="741"/>
      <c r="E607" s="748"/>
      <c r="F607" s="748"/>
      <c r="G607" s="748"/>
      <c r="H607" s="748"/>
      <c r="I607" s="748"/>
    </row>
    <row r="608" spans="1:14" hidden="1">
      <c r="A608" s="242"/>
      <c r="B608" s="734"/>
      <c r="C608" s="1197"/>
      <c r="D608" s="317"/>
      <c r="E608" s="748"/>
      <c r="F608" s="749"/>
      <c r="G608" s="749"/>
      <c r="H608" s="749"/>
      <c r="I608" s="749"/>
    </row>
    <row r="609" spans="1:9" hidden="1">
      <c r="A609" s="242"/>
      <c r="B609" s="739" t="s">
        <v>1592</v>
      </c>
      <c r="C609" s="1197"/>
      <c r="D609" s="317"/>
      <c r="E609" s="745"/>
      <c r="F609" s="737"/>
      <c r="G609" s="737"/>
      <c r="H609" s="737"/>
      <c r="I609" s="737"/>
    </row>
    <row r="610" spans="1:9" hidden="1">
      <c r="A610" s="242"/>
      <c r="B610" s="734"/>
      <c r="C610" s="1197"/>
      <c r="D610" s="317"/>
      <c r="E610" s="745"/>
      <c r="F610" s="737"/>
      <c r="G610" s="737"/>
      <c r="H610" s="737"/>
      <c r="I610" s="737"/>
    </row>
    <row r="611" spans="1:9" ht="25.5" hidden="1">
      <c r="A611" s="242"/>
      <c r="B611" s="211" t="s">
        <v>1593</v>
      </c>
      <c r="C611" s="211"/>
      <c r="D611" s="741"/>
      <c r="E611" s="742"/>
      <c r="F611" s="742"/>
      <c r="G611" s="742"/>
      <c r="H611" s="742"/>
      <c r="I611" s="742"/>
    </row>
    <row r="612" spans="1:9" hidden="1">
      <c r="A612" s="242"/>
      <c r="B612" s="211" t="s">
        <v>1594</v>
      </c>
      <c r="C612" s="211"/>
      <c r="D612" s="743"/>
      <c r="E612" s="742"/>
      <c r="F612" s="744"/>
      <c r="G612" s="742"/>
      <c r="H612" s="742"/>
      <c r="I612" s="742"/>
    </row>
    <row r="613" spans="1:9" hidden="1">
      <c r="A613" s="242"/>
      <c r="B613" s="721"/>
      <c r="C613" s="1197"/>
      <c r="D613" s="741"/>
      <c r="E613" s="742"/>
      <c r="F613" s="742"/>
      <c r="G613" s="742"/>
      <c r="H613" s="742"/>
      <c r="I613" s="742"/>
    </row>
    <row r="614" spans="1:9" hidden="1">
      <c r="A614" s="242"/>
      <c r="B614" s="211" t="s">
        <v>1595</v>
      </c>
      <c r="C614" s="211"/>
      <c r="D614" s="743"/>
      <c r="E614" s="742"/>
      <c r="F614" s="744"/>
      <c r="G614" s="742"/>
      <c r="H614" s="742"/>
      <c r="I614" s="742"/>
    </row>
    <row r="615" spans="1:9" hidden="1">
      <c r="A615" s="242"/>
      <c r="B615" s="211" t="s">
        <v>1596</v>
      </c>
      <c r="C615" s="211"/>
      <c r="D615" s="741"/>
      <c r="E615" s="742"/>
      <c r="F615" s="742"/>
      <c r="G615" s="742"/>
      <c r="H615" s="742"/>
      <c r="I615" s="742"/>
    </row>
    <row r="616" spans="1:9" hidden="1">
      <c r="A616" s="242"/>
      <c r="B616" s="211" t="s">
        <v>1597</v>
      </c>
      <c r="C616" s="211"/>
      <c r="D616" s="741"/>
      <c r="E616" s="742"/>
      <c r="F616" s="742"/>
      <c r="G616" s="742"/>
      <c r="H616" s="742"/>
      <c r="I616" s="742"/>
    </row>
    <row r="617" spans="1:9" hidden="1">
      <c r="A617" s="242"/>
      <c r="B617" s="211" t="s">
        <v>1598</v>
      </c>
      <c r="C617" s="211"/>
      <c r="D617" s="741"/>
      <c r="E617" s="742"/>
      <c r="F617" s="742"/>
      <c r="G617" s="742"/>
      <c r="H617" s="742"/>
      <c r="I617" s="742"/>
    </row>
    <row r="618" spans="1:9" hidden="1">
      <c r="A618" s="242"/>
      <c r="B618" s="211" t="s">
        <v>1599</v>
      </c>
      <c r="C618" s="211"/>
      <c r="D618" s="741"/>
      <c r="E618" s="742"/>
      <c r="F618" s="742"/>
      <c r="G618" s="742"/>
      <c r="H618" s="742"/>
      <c r="I618" s="742"/>
    </row>
    <row r="619" spans="1:9" hidden="1">
      <c r="A619" s="242"/>
      <c r="B619" s="211" t="s">
        <v>1600</v>
      </c>
      <c r="C619" s="211"/>
      <c r="D619" s="741"/>
      <c r="E619" s="742"/>
      <c r="F619" s="742"/>
      <c r="G619" s="742"/>
      <c r="H619" s="742"/>
      <c r="I619" s="742"/>
    </row>
    <row r="620" spans="1:9" hidden="1">
      <c r="A620" s="242"/>
      <c r="B620" s="211" t="s">
        <v>1601</v>
      </c>
      <c r="C620" s="211"/>
      <c r="D620" s="741"/>
      <c r="E620" s="742"/>
      <c r="F620" s="742"/>
      <c r="G620" s="742"/>
      <c r="H620" s="742"/>
      <c r="I620" s="742"/>
    </row>
    <row r="621" spans="1:9" ht="13.5" hidden="1" thickBot="1">
      <c r="A621" s="242"/>
      <c r="B621" s="734" t="s">
        <v>1602</v>
      </c>
      <c r="C621" s="211"/>
      <c r="D621" s="750"/>
      <c r="E621" s="747"/>
      <c r="F621" s="751"/>
      <c r="G621" s="747"/>
      <c r="H621" s="747"/>
      <c r="I621" s="747"/>
    </row>
    <row r="622" spans="1:9" hidden="1">
      <c r="A622" s="242"/>
      <c r="B622" s="1197"/>
      <c r="C622" s="1197"/>
      <c r="D622" s="317"/>
      <c r="E622" s="741"/>
      <c r="F622" s="737"/>
      <c r="G622" s="737"/>
      <c r="H622" s="737"/>
      <c r="I622" s="737"/>
    </row>
    <row r="623" spans="1:9" ht="25.5" hidden="1">
      <c r="A623" s="242"/>
      <c r="B623" s="752" t="s">
        <v>1603</v>
      </c>
      <c r="C623" s="739"/>
      <c r="D623" s="317"/>
      <c r="E623" s="741"/>
      <c r="F623" s="737"/>
      <c r="G623" s="737"/>
      <c r="H623" s="737"/>
      <c r="I623" s="737"/>
    </row>
    <row r="624" spans="1:9" hidden="1">
      <c r="A624" s="242"/>
      <c r="B624" s="721"/>
      <c r="C624" s="1197"/>
      <c r="D624" s="317"/>
      <c r="E624" s="741"/>
      <c r="F624" s="737"/>
      <c r="G624" s="737"/>
      <c r="H624" s="737"/>
      <c r="I624" s="737"/>
    </row>
    <row r="625" spans="1:9" ht="25.5" hidden="1">
      <c r="A625" s="242"/>
      <c r="B625" s="211" t="s">
        <v>1604</v>
      </c>
      <c r="C625" s="211"/>
      <c r="D625" s="317"/>
      <c r="E625" s="741"/>
      <c r="F625" s="737"/>
      <c r="G625" s="737"/>
      <c r="H625" s="737"/>
      <c r="I625" s="737"/>
    </row>
    <row r="626" spans="1:9" hidden="1">
      <c r="A626" s="242"/>
      <c r="B626" s="211" t="s">
        <v>351</v>
      </c>
      <c r="C626" s="211"/>
      <c r="D626" s="741"/>
      <c r="E626" s="742"/>
      <c r="F626" s="742"/>
      <c r="G626" s="742"/>
      <c r="H626" s="742"/>
      <c r="I626" s="742"/>
    </row>
    <row r="627" spans="1:9" hidden="1">
      <c r="A627" s="242"/>
      <c r="B627" s="211" t="s">
        <v>1577</v>
      </c>
      <c r="C627" s="211"/>
      <c r="D627" s="741"/>
      <c r="E627" s="742"/>
      <c r="F627" s="742"/>
      <c r="G627" s="742"/>
      <c r="H627" s="742"/>
      <c r="I627" s="742"/>
    </row>
    <row r="628" spans="1:9" hidden="1">
      <c r="A628" s="242"/>
      <c r="B628" s="211" t="s">
        <v>1605</v>
      </c>
      <c r="C628" s="211"/>
      <c r="D628" s="741"/>
      <c r="E628" s="742"/>
      <c r="F628" s="742"/>
      <c r="G628" s="742"/>
      <c r="H628" s="742"/>
      <c r="I628" s="742"/>
    </row>
    <row r="629" spans="1:9" hidden="1">
      <c r="A629" s="242"/>
      <c r="B629" s="211" t="s">
        <v>1606</v>
      </c>
      <c r="C629" s="211"/>
      <c r="D629" s="741"/>
      <c r="E629" s="742"/>
      <c r="F629" s="742"/>
      <c r="G629" s="742"/>
      <c r="H629" s="742"/>
      <c r="I629" s="742"/>
    </row>
    <row r="630" spans="1:9" hidden="1">
      <c r="A630" s="242"/>
      <c r="B630" s="211" t="s">
        <v>1607</v>
      </c>
      <c r="C630" s="211"/>
      <c r="D630" s="741"/>
      <c r="E630" s="742"/>
      <c r="F630" s="742"/>
      <c r="G630" s="742"/>
      <c r="H630" s="742"/>
      <c r="I630" s="742"/>
    </row>
    <row r="631" spans="1:9" hidden="1">
      <c r="A631" s="242"/>
      <c r="B631" s="211" t="s">
        <v>1608</v>
      </c>
      <c r="C631" s="211"/>
      <c r="D631" s="741"/>
      <c r="E631" s="742"/>
      <c r="F631" s="742"/>
      <c r="G631" s="742"/>
      <c r="H631" s="742"/>
      <c r="I631" s="742"/>
    </row>
    <row r="632" spans="1:9" hidden="1">
      <c r="A632" s="242"/>
      <c r="B632" s="211" t="s">
        <v>1609</v>
      </c>
      <c r="C632" s="211"/>
      <c r="D632" s="741"/>
      <c r="E632" s="742"/>
      <c r="F632" s="742"/>
      <c r="G632" s="742"/>
      <c r="H632" s="742"/>
      <c r="I632" s="742"/>
    </row>
    <row r="633" spans="1:9" hidden="1">
      <c r="A633" s="242"/>
      <c r="B633" s="211" t="s">
        <v>1610</v>
      </c>
      <c r="C633" s="211"/>
      <c r="D633" s="741"/>
      <c r="E633" s="742"/>
      <c r="F633" s="742"/>
      <c r="G633" s="742"/>
      <c r="H633" s="742"/>
      <c r="I633" s="742"/>
    </row>
    <row r="634" spans="1:9" hidden="1">
      <c r="A634" s="242"/>
      <c r="B634" s="211" t="s">
        <v>1591</v>
      </c>
      <c r="C634" s="211"/>
      <c r="D634" s="741"/>
      <c r="E634" s="742"/>
      <c r="F634" s="742"/>
      <c r="G634" s="742"/>
      <c r="H634" s="742"/>
      <c r="I634" s="742"/>
    </row>
    <row r="635" spans="1:9" ht="13.5" hidden="1" thickBot="1">
      <c r="A635" s="242"/>
      <c r="B635" s="753" t="s">
        <v>1611</v>
      </c>
      <c r="C635" s="1197"/>
      <c r="D635" s="750"/>
      <c r="E635" s="747"/>
      <c r="F635" s="751"/>
      <c r="G635" s="747"/>
      <c r="H635" s="747"/>
      <c r="I635" s="747"/>
    </row>
    <row r="636" spans="1:9" hidden="1">
      <c r="A636" s="242"/>
      <c r="B636" s="721"/>
      <c r="C636" s="1197"/>
      <c r="D636" s="317"/>
      <c r="E636" s="745"/>
      <c r="F636" s="737"/>
      <c r="G636" s="737"/>
      <c r="H636" s="737"/>
      <c r="I636" s="737"/>
    </row>
    <row r="637" spans="1:9" hidden="1">
      <c r="A637" s="242"/>
      <c r="B637" s="1740" t="s">
        <v>1612</v>
      </c>
      <c r="C637" s="1740"/>
      <c r="D637" s="317"/>
      <c r="E637" s="745"/>
      <c r="F637" s="737"/>
      <c r="G637" s="737"/>
      <c r="H637" s="737"/>
      <c r="I637" s="737"/>
    </row>
    <row r="638" spans="1:9" hidden="1">
      <c r="A638" s="242"/>
      <c r="B638" s="1741"/>
      <c r="C638" s="1741"/>
      <c r="D638" s="317"/>
      <c r="E638" s="745"/>
      <c r="F638" s="737"/>
      <c r="G638" s="737"/>
      <c r="H638" s="737"/>
      <c r="I638" s="737"/>
    </row>
    <row r="639" spans="1:9" hidden="1">
      <c r="A639" s="242"/>
      <c r="B639" s="211" t="s">
        <v>1613</v>
      </c>
      <c r="C639" s="211"/>
      <c r="D639" s="317"/>
      <c r="E639" s="745"/>
      <c r="F639" s="737"/>
      <c r="G639" s="737"/>
      <c r="H639" s="737"/>
      <c r="I639" s="737"/>
    </row>
    <row r="640" spans="1:9" hidden="1">
      <c r="A640" s="242"/>
      <c r="B640" s="211" t="s">
        <v>554</v>
      </c>
      <c r="C640" s="211"/>
      <c r="D640" s="741"/>
      <c r="E640" s="742"/>
      <c r="F640" s="742"/>
      <c r="G640" s="742"/>
      <c r="H640" s="742"/>
      <c r="I640" s="742"/>
    </row>
    <row r="641" spans="1:9" hidden="1">
      <c r="A641" s="242"/>
      <c r="B641" s="211" t="s">
        <v>1579</v>
      </c>
      <c r="C641" s="211"/>
      <c r="D641" s="741"/>
      <c r="E641" s="742"/>
      <c r="F641" s="742"/>
      <c r="G641" s="742"/>
      <c r="H641" s="742"/>
      <c r="I641" s="742"/>
    </row>
    <row r="642" spans="1:9" hidden="1">
      <c r="A642" s="242"/>
      <c r="B642" s="211" t="s">
        <v>1614</v>
      </c>
      <c r="C642" s="211"/>
      <c r="D642" s="741"/>
      <c r="E642" s="742"/>
      <c r="F642" s="742"/>
      <c r="G642" s="742"/>
      <c r="H642" s="742"/>
      <c r="I642" s="742"/>
    </row>
    <row r="643" spans="1:9" hidden="1">
      <c r="A643" s="242"/>
      <c r="B643" s="211" t="s">
        <v>1615</v>
      </c>
      <c r="C643" s="211"/>
      <c r="D643" s="741"/>
      <c r="E643" s="742"/>
      <c r="F643" s="742"/>
      <c r="G643" s="742"/>
      <c r="H643" s="742"/>
      <c r="I643" s="742"/>
    </row>
    <row r="644" spans="1:9" hidden="1">
      <c r="A644" s="242"/>
      <c r="B644" s="211" t="s">
        <v>1606</v>
      </c>
      <c r="C644" s="211"/>
      <c r="D644" s="741"/>
      <c r="E644" s="742"/>
      <c r="F644" s="742"/>
      <c r="G644" s="742"/>
      <c r="H644" s="742"/>
      <c r="I644" s="742"/>
    </row>
    <row r="645" spans="1:9" hidden="1">
      <c r="A645" s="242"/>
      <c r="B645" s="211" t="s">
        <v>1616</v>
      </c>
      <c r="C645" s="211"/>
      <c r="D645" s="741"/>
      <c r="E645" s="742"/>
      <c r="F645" s="742"/>
      <c r="G645" s="742"/>
      <c r="H645" s="742"/>
      <c r="I645" s="742"/>
    </row>
    <row r="646" spans="1:9" hidden="1">
      <c r="A646" s="242"/>
      <c r="B646" s="211" t="s">
        <v>1617</v>
      </c>
      <c r="C646" s="1197"/>
      <c r="D646" s="741"/>
      <c r="E646" s="742"/>
      <c r="F646" s="742"/>
      <c r="G646" s="742"/>
      <c r="H646" s="742"/>
      <c r="I646" s="742"/>
    </row>
    <row r="647" spans="1:9" ht="13.5" hidden="1" thickBot="1">
      <c r="A647" s="242"/>
      <c r="B647" s="211" t="s">
        <v>1591</v>
      </c>
      <c r="C647" s="1197"/>
      <c r="D647" s="754"/>
      <c r="E647" s="742"/>
      <c r="F647" s="755"/>
      <c r="G647" s="742"/>
      <c r="H647" s="742"/>
      <c r="I647" s="742"/>
    </row>
    <row r="648" spans="1:9" ht="13.5" hidden="1" thickBot="1">
      <c r="A648" s="242"/>
      <c r="B648" s="753" t="s">
        <v>1611</v>
      </c>
      <c r="C648" s="1197"/>
      <c r="D648" s="756"/>
      <c r="E648" s="747"/>
      <c r="F648" s="757"/>
      <c r="G648" s="747"/>
      <c r="H648" s="747"/>
      <c r="I648" s="747"/>
    </row>
    <row r="649" spans="1:9" hidden="1">
      <c r="A649" s="242"/>
      <c r="B649" s="721"/>
      <c r="C649" s="1197"/>
      <c r="D649" s="741"/>
      <c r="E649" s="742"/>
      <c r="F649" s="742"/>
      <c r="G649" s="742"/>
      <c r="H649" s="742"/>
      <c r="I649" s="742"/>
    </row>
    <row r="650" spans="1:9" hidden="1">
      <c r="A650" s="242"/>
      <c r="B650" s="1196" t="s">
        <v>1618</v>
      </c>
      <c r="C650" s="1197"/>
      <c r="D650" s="286" t="s">
        <v>1287</v>
      </c>
      <c r="E650" s="747"/>
      <c r="F650" s="747" t="s">
        <v>1287</v>
      </c>
      <c r="G650" s="747"/>
      <c r="H650" s="747"/>
      <c r="I650" s="747"/>
    </row>
    <row r="651" spans="1:9" hidden="1">
      <c r="A651" s="242"/>
      <c r="B651" s="1197"/>
      <c r="C651" s="1197"/>
      <c r="D651" s="317"/>
      <c r="E651" s="742"/>
    </row>
    <row r="652" spans="1:9" hidden="1">
      <c r="A652" s="242"/>
      <c r="B652" s="211" t="s">
        <v>1619</v>
      </c>
      <c r="C652" s="211"/>
      <c r="D652" s="741"/>
      <c r="E652" s="742"/>
      <c r="F652" s="742"/>
      <c r="G652" s="742"/>
      <c r="H652" s="742"/>
      <c r="I652" s="742"/>
    </row>
    <row r="653" spans="1:9" hidden="1">
      <c r="A653" s="242"/>
      <c r="B653" s="211" t="s">
        <v>1620</v>
      </c>
      <c r="C653" s="211"/>
      <c r="D653" s="741"/>
      <c r="E653" s="742"/>
      <c r="F653" s="742"/>
      <c r="G653" s="742"/>
      <c r="H653" s="742"/>
      <c r="I653" s="742"/>
    </row>
    <row r="654" spans="1:9" hidden="1">
      <c r="A654" s="242"/>
      <c r="B654" s="211" t="s">
        <v>1621</v>
      </c>
      <c r="C654" s="211"/>
      <c r="D654" s="741"/>
      <c r="E654" s="742"/>
      <c r="F654" s="742"/>
      <c r="G654" s="742"/>
      <c r="H654" s="742"/>
      <c r="I654" s="742"/>
    </row>
    <row r="655" spans="1:9" hidden="1">
      <c r="A655" s="242"/>
      <c r="B655" s="211" t="s">
        <v>1591</v>
      </c>
      <c r="C655" s="211"/>
      <c r="D655" s="741"/>
      <c r="E655" s="742"/>
      <c r="F655" s="742"/>
      <c r="G655" s="742"/>
      <c r="H655" s="742"/>
      <c r="I655" s="742"/>
    </row>
    <row r="656" spans="1:9" hidden="1">
      <c r="A656" s="242"/>
      <c r="B656" s="211"/>
      <c r="C656" s="211"/>
      <c r="D656" s="317"/>
      <c r="E656" s="745"/>
      <c r="F656" s="737"/>
      <c r="G656" s="737"/>
      <c r="H656" s="737"/>
      <c r="I656" s="737"/>
    </row>
    <row r="657" spans="1:9" ht="51" hidden="1">
      <c r="A657" s="242"/>
      <c r="B657" s="211" t="s">
        <v>1622</v>
      </c>
      <c r="C657" s="211"/>
      <c r="D657" s="317"/>
      <c r="E657" s="745"/>
      <c r="F657" s="737"/>
      <c r="G657" s="737"/>
      <c r="H657" s="737"/>
      <c r="I657" s="737"/>
    </row>
    <row r="658" spans="1:9" hidden="1">
      <c r="A658" s="242"/>
      <c r="B658" s="721"/>
      <c r="C658" s="1197"/>
      <c r="D658" s="317"/>
      <c r="E658" s="745"/>
      <c r="F658" s="737"/>
      <c r="G658" s="737"/>
      <c r="H658" s="737"/>
      <c r="I658" s="737"/>
    </row>
    <row r="659" spans="1:9" hidden="1">
      <c r="A659" s="242"/>
      <c r="B659" s="211" t="s">
        <v>1623</v>
      </c>
      <c r="C659" s="1197"/>
      <c r="D659" s="317"/>
      <c r="E659" s="745"/>
      <c r="F659" s="737"/>
      <c r="G659" s="737"/>
      <c r="H659" s="737"/>
      <c r="I659" s="737"/>
    </row>
    <row r="660" spans="1:9" hidden="1">
      <c r="A660" s="242"/>
      <c r="B660" s="721"/>
      <c r="C660" s="1197"/>
      <c r="D660" s="317"/>
      <c r="E660" s="745"/>
      <c r="F660" s="737"/>
      <c r="G660" s="737"/>
      <c r="H660" s="737"/>
      <c r="I660" s="737"/>
    </row>
    <row r="661" spans="1:9" hidden="1">
      <c r="A661" s="242"/>
      <c r="B661" s="1196" t="s">
        <v>1624</v>
      </c>
      <c r="C661" s="1197"/>
      <c r="D661" s="317"/>
      <c r="E661" s="745"/>
      <c r="F661" s="737"/>
      <c r="G661" s="737"/>
      <c r="H661" s="737"/>
      <c r="I661" s="737"/>
    </row>
    <row r="662" spans="1:9" hidden="1">
      <c r="A662" s="242"/>
      <c r="B662" s="721"/>
      <c r="C662" s="1197"/>
      <c r="D662" s="317"/>
      <c r="E662" s="745"/>
      <c r="F662" s="737"/>
      <c r="G662" s="737"/>
      <c r="H662" s="737"/>
      <c r="I662" s="737"/>
    </row>
    <row r="663" spans="1:9" hidden="1">
      <c r="A663" s="242"/>
      <c r="B663" s="211" t="s">
        <v>1625</v>
      </c>
      <c r="C663" s="211"/>
      <c r="D663" s="741"/>
      <c r="E663" s="742"/>
      <c r="F663" s="742"/>
      <c r="G663" s="742"/>
      <c r="H663" s="742"/>
      <c r="I663" s="742"/>
    </row>
    <row r="664" spans="1:9" hidden="1">
      <c r="A664" s="242"/>
      <c r="B664" s="211" t="s">
        <v>1626</v>
      </c>
      <c r="C664" s="211"/>
      <c r="D664" s="741"/>
      <c r="E664" s="742"/>
      <c r="F664" s="742"/>
      <c r="G664" s="742"/>
      <c r="H664" s="742"/>
      <c r="I664" s="742"/>
    </row>
    <row r="665" spans="1:9" ht="13.5" hidden="1" thickBot="1">
      <c r="A665" s="242"/>
      <c r="B665" s="211" t="s">
        <v>1596</v>
      </c>
      <c r="C665" s="211"/>
      <c r="D665" s="758"/>
      <c r="E665" s="742"/>
      <c r="F665" s="759"/>
      <c r="G665" s="742"/>
      <c r="H665" s="742"/>
      <c r="I665" s="742"/>
    </row>
    <row r="666" spans="1:9" hidden="1">
      <c r="A666" s="242"/>
      <c r="B666" s="211"/>
      <c r="C666" s="211"/>
      <c r="D666" s="317"/>
      <c r="E666" s="742"/>
    </row>
    <row r="667" spans="1:9" hidden="1">
      <c r="A667" s="242"/>
      <c r="B667" s="211" t="s">
        <v>1627</v>
      </c>
      <c r="C667" s="211"/>
      <c r="D667" s="741"/>
      <c r="E667" s="742"/>
      <c r="F667" s="742"/>
      <c r="G667" s="742"/>
      <c r="H667" s="742"/>
      <c r="I667" s="742"/>
    </row>
    <row r="668" spans="1:9" hidden="1">
      <c r="A668" s="242"/>
      <c r="B668" s="211"/>
      <c r="C668" s="211"/>
      <c r="D668" s="741"/>
      <c r="E668" s="742"/>
      <c r="F668" s="742"/>
      <c r="G668" s="742"/>
      <c r="H668" s="742"/>
      <c r="I668" s="742"/>
    </row>
    <row r="669" spans="1:9" hidden="1">
      <c r="A669" s="242"/>
      <c r="B669" s="211" t="s">
        <v>1628</v>
      </c>
      <c r="C669" s="211"/>
      <c r="D669" s="741"/>
      <c r="E669" s="742"/>
      <c r="F669" s="742"/>
      <c r="G669" s="742"/>
      <c r="H669" s="742"/>
      <c r="I669" s="742"/>
    </row>
    <row r="670" spans="1:9" hidden="1">
      <c r="A670" s="242"/>
      <c r="B670" s="211"/>
      <c r="C670" s="211"/>
      <c r="D670" s="317"/>
      <c r="E670" s="742"/>
    </row>
    <row r="671" spans="1:9" ht="38.25" hidden="1">
      <c r="A671" s="242"/>
      <c r="B671" s="211" t="s">
        <v>1629</v>
      </c>
      <c r="C671" s="211"/>
      <c r="D671" s="317"/>
      <c r="E671" s="745"/>
      <c r="F671" s="737"/>
      <c r="G671" s="737"/>
      <c r="H671" s="737"/>
      <c r="I671" s="737"/>
    </row>
    <row r="672" spans="1:9" hidden="1">
      <c r="A672" s="242"/>
      <c r="B672" s="721"/>
      <c r="C672" s="1197"/>
      <c r="D672" s="317"/>
      <c r="E672" s="745"/>
      <c r="F672" s="737"/>
      <c r="G672" s="737"/>
      <c r="H672" s="737"/>
      <c r="I672" s="737"/>
    </row>
    <row r="673" spans="1:9" hidden="1">
      <c r="A673" s="242"/>
      <c r="B673" s="1740" t="s">
        <v>1630</v>
      </c>
      <c r="C673" s="1740"/>
      <c r="D673" s="317"/>
      <c r="E673" s="745"/>
      <c r="F673" s="737"/>
      <c r="G673" s="737"/>
      <c r="H673" s="737"/>
      <c r="I673" s="737"/>
    </row>
    <row r="674" spans="1:9" hidden="1">
      <c r="A674" s="242"/>
      <c r="B674" s="721"/>
      <c r="C674" s="1197"/>
      <c r="D674" s="317"/>
      <c r="E674" s="745"/>
      <c r="F674" s="737"/>
      <c r="G674" s="737"/>
      <c r="H674" s="737"/>
      <c r="I674" s="737"/>
    </row>
    <row r="675" spans="1:9" ht="25.5" hidden="1">
      <c r="A675" s="242"/>
      <c r="B675" s="211" t="s">
        <v>1631</v>
      </c>
      <c r="C675" s="211"/>
      <c r="D675" s="317"/>
      <c r="E675" s="745"/>
      <c r="F675" s="737"/>
      <c r="G675" s="737"/>
      <c r="H675" s="737"/>
      <c r="I675" s="737"/>
    </row>
    <row r="676" spans="1:9" hidden="1">
      <c r="A676" s="242"/>
      <c r="B676" s="721"/>
      <c r="C676" s="1197"/>
      <c r="D676" s="317"/>
      <c r="E676" s="745"/>
      <c r="F676" s="737"/>
      <c r="G676" s="737"/>
      <c r="H676" s="737"/>
      <c r="I676" s="737"/>
    </row>
    <row r="677" spans="1:9" ht="76.5" hidden="1">
      <c r="A677" s="242"/>
      <c r="B677" s="734" t="s">
        <v>1632</v>
      </c>
      <c r="C677" s="1197"/>
      <c r="D677" s="317"/>
      <c r="E677" s="745"/>
      <c r="F677" s="737"/>
      <c r="G677" s="737"/>
      <c r="H677" s="737"/>
      <c r="I677" s="737"/>
    </row>
    <row r="678" spans="1:9" hidden="1">
      <c r="A678" s="242"/>
      <c r="B678" s="721"/>
      <c r="C678" s="1197"/>
      <c r="D678" s="317"/>
      <c r="E678" s="745"/>
      <c r="F678" s="737"/>
      <c r="G678" s="737"/>
      <c r="H678" s="737"/>
      <c r="I678" s="737"/>
    </row>
    <row r="679" spans="1:9" ht="38.25" hidden="1">
      <c r="A679" s="242"/>
      <c r="B679" s="734" t="s">
        <v>1633</v>
      </c>
      <c r="C679" s="734"/>
      <c r="D679" s="317"/>
      <c r="E679" s="745"/>
      <c r="F679" s="737"/>
      <c r="G679" s="737"/>
      <c r="H679" s="737"/>
      <c r="I679" s="737"/>
    </row>
    <row r="680" spans="1:9" hidden="1">
      <c r="A680" s="242"/>
      <c r="B680" s="721"/>
      <c r="C680" s="1197"/>
      <c r="D680" s="317"/>
      <c r="E680" s="745"/>
      <c r="F680" s="737"/>
      <c r="G680" s="737"/>
      <c r="H680" s="737"/>
      <c r="I680" s="737"/>
    </row>
    <row r="681" spans="1:9" ht="25.5" hidden="1">
      <c r="A681" s="242"/>
      <c r="B681" s="211" t="s">
        <v>1634</v>
      </c>
      <c r="C681" s="211"/>
      <c r="D681" s="317"/>
      <c r="E681" s="745"/>
      <c r="F681" s="737"/>
      <c r="G681" s="737"/>
      <c r="H681" s="737"/>
      <c r="I681" s="737"/>
    </row>
    <row r="682" spans="1:9" hidden="1">
      <c r="A682" s="242"/>
      <c r="B682" s="721"/>
      <c r="C682" s="1197"/>
      <c r="D682" s="741"/>
      <c r="E682" s="745"/>
      <c r="F682" s="737"/>
      <c r="G682" s="737"/>
      <c r="H682" s="737"/>
      <c r="I682" s="737"/>
    </row>
    <row r="683" spans="1:9" hidden="1">
      <c r="A683" s="242"/>
      <c r="B683" s="135"/>
      <c r="C683" s="1197"/>
      <c r="D683" s="1192"/>
      <c r="E683" s="1197"/>
      <c r="F683" s="1192"/>
      <c r="G683" s="737"/>
      <c r="H683" s="737"/>
      <c r="I683" s="737"/>
    </row>
    <row r="684" spans="1:9" hidden="1">
      <c r="A684" s="242"/>
      <c r="B684" s="721"/>
      <c r="C684" s="1197"/>
      <c r="D684" s="317"/>
      <c r="E684" s="1197"/>
      <c r="F684" s="737"/>
      <c r="G684" s="737"/>
      <c r="H684" s="737"/>
      <c r="I684" s="737"/>
    </row>
    <row r="685" spans="1:9" hidden="1">
      <c r="A685" s="242"/>
      <c r="B685" s="211"/>
      <c r="C685" s="211"/>
      <c r="D685" s="317"/>
      <c r="E685" s="1197"/>
      <c r="F685" s="737"/>
      <c r="G685" s="737"/>
      <c r="H685" s="737"/>
      <c r="I685" s="737"/>
    </row>
    <row r="686" spans="1:9" hidden="1">
      <c r="A686" s="242"/>
      <c r="B686" s="753"/>
      <c r="C686" s="1197"/>
      <c r="D686" s="317"/>
      <c r="E686" s="1197"/>
      <c r="F686" s="737"/>
      <c r="G686" s="737"/>
      <c r="H686" s="737"/>
      <c r="I686" s="737"/>
    </row>
    <row r="687" spans="1:9" hidden="1">
      <c r="A687" s="242"/>
      <c r="B687" s="760"/>
      <c r="C687" s="1197"/>
      <c r="D687" s="317"/>
      <c r="E687" s="1197"/>
      <c r="F687" s="737"/>
      <c r="G687" s="737"/>
      <c r="H687" s="737"/>
      <c r="I687" s="737"/>
    </row>
    <row r="688" spans="1:9" hidden="1">
      <c r="A688" s="242"/>
      <c r="B688" s="761"/>
      <c r="C688" s="1197"/>
      <c r="D688" s="317"/>
      <c r="E688" s="1197"/>
      <c r="F688" s="737"/>
      <c r="G688" s="737"/>
      <c r="H688" s="737"/>
      <c r="I688" s="737"/>
    </row>
    <row r="689" spans="1:9" hidden="1">
      <c r="A689" s="242"/>
      <c r="B689" s="761"/>
      <c r="C689" s="1197"/>
      <c r="D689" s="317"/>
      <c r="E689" s="1197"/>
      <c r="F689" s="737"/>
      <c r="G689" s="737"/>
      <c r="H689" s="737"/>
      <c r="I689" s="737"/>
    </row>
    <row r="690" spans="1:9" hidden="1">
      <c r="A690" s="242"/>
      <c r="B690" s="211"/>
      <c r="C690" s="1197"/>
      <c r="D690" s="741"/>
      <c r="E690" s="1197"/>
      <c r="F690" s="742"/>
      <c r="G690" s="742"/>
      <c r="H690" s="742"/>
      <c r="I690" s="742"/>
    </row>
    <row r="691" spans="1:9" hidden="1">
      <c r="A691" s="242"/>
      <c r="B691" s="211"/>
      <c r="C691" s="1197"/>
      <c r="D691" s="741"/>
      <c r="E691" s="1197"/>
      <c r="F691" s="742"/>
      <c r="G691" s="742"/>
      <c r="H691" s="742"/>
      <c r="I691" s="742"/>
    </row>
    <row r="692" spans="1:9" hidden="1">
      <c r="A692" s="242"/>
      <c r="B692" s="211"/>
      <c r="C692" s="1197"/>
      <c r="D692" s="741"/>
      <c r="E692" s="1197"/>
      <c r="F692" s="742"/>
      <c r="G692" s="742"/>
      <c r="H692" s="742"/>
      <c r="I692" s="742"/>
    </row>
    <row r="693" spans="1:9" hidden="1">
      <c r="A693" s="242"/>
      <c r="B693" s="211"/>
      <c r="C693" s="1197"/>
      <c r="D693" s="741"/>
      <c r="E693" s="1197"/>
      <c r="F693" s="742"/>
      <c r="G693" s="742"/>
      <c r="H693" s="742"/>
      <c r="I693" s="742"/>
    </row>
    <row r="694" spans="1:9" hidden="1">
      <c r="A694" s="242"/>
      <c r="B694" s="211"/>
      <c r="C694" s="1197"/>
      <c r="D694" s="741"/>
      <c r="E694" s="1197"/>
      <c r="F694" s="742"/>
      <c r="G694" s="742"/>
      <c r="H694" s="742"/>
      <c r="I694" s="742"/>
    </row>
    <row r="695" spans="1:9" hidden="1">
      <c r="A695" s="242"/>
      <c r="B695" s="211"/>
      <c r="C695" s="1197"/>
      <c r="D695" s="741"/>
      <c r="E695" s="1197"/>
      <c r="F695" s="742"/>
      <c r="G695" s="742"/>
      <c r="H695" s="742"/>
      <c r="I695" s="742"/>
    </row>
    <row r="696" spans="1:9" hidden="1">
      <c r="A696" s="242"/>
      <c r="B696" s="211"/>
      <c r="C696" s="1197"/>
      <c r="D696" s="741"/>
      <c r="E696" s="1197"/>
      <c r="F696" s="742"/>
      <c r="G696" s="742"/>
      <c r="H696" s="742"/>
      <c r="I696" s="742"/>
    </row>
    <row r="697" spans="1:9" hidden="1">
      <c r="A697" s="242"/>
      <c r="B697" s="753"/>
      <c r="C697" s="1197"/>
      <c r="D697" s="286"/>
      <c r="E697" s="1197"/>
      <c r="F697" s="747"/>
      <c r="G697" s="747"/>
      <c r="H697" s="747"/>
      <c r="I697" s="747"/>
    </row>
    <row r="698" spans="1:9" hidden="1">
      <c r="A698" s="242"/>
      <c r="B698" s="753"/>
      <c r="C698" s="1197"/>
      <c r="D698" s="286"/>
      <c r="E698" s="1197"/>
      <c r="F698" s="747"/>
      <c r="G698" s="747"/>
      <c r="H698" s="747"/>
      <c r="I698" s="747"/>
    </row>
    <row r="699" spans="1:9" hidden="1">
      <c r="A699" s="242"/>
      <c r="B699" s="721"/>
      <c r="C699" s="1197"/>
      <c r="D699" s="317"/>
      <c r="E699" s="1197"/>
    </row>
    <row r="700" spans="1:9" hidden="1">
      <c r="A700" s="242"/>
      <c r="B700" s="211"/>
      <c r="C700" s="1197"/>
      <c r="D700" s="317"/>
      <c r="E700" s="1197"/>
    </row>
    <row r="701" spans="1:9" hidden="1">
      <c r="A701" s="242"/>
      <c r="B701" s="211"/>
      <c r="C701" s="1197"/>
      <c r="D701" s="317"/>
      <c r="E701" s="1197"/>
    </row>
    <row r="702" spans="1:9" hidden="1">
      <c r="A702" s="242"/>
      <c r="B702" s="760"/>
      <c r="C702" s="1197"/>
      <c r="D702" s="286"/>
      <c r="E702" s="1197"/>
      <c r="F702" s="747"/>
      <c r="G702" s="747"/>
      <c r="H702" s="747"/>
      <c r="I702" s="747"/>
    </row>
    <row r="703" spans="1:9" hidden="1">
      <c r="A703" s="242"/>
      <c r="B703" s="211"/>
      <c r="C703" s="211"/>
      <c r="D703" s="286"/>
      <c r="E703" s="1197"/>
      <c r="F703" s="747"/>
      <c r="G703" s="747"/>
      <c r="H703" s="747"/>
      <c r="I703" s="747"/>
    </row>
    <row r="704" spans="1:9" hidden="1">
      <c r="A704" s="242"/>
      <c r="B704" s="211"/>
      <c r="C704" s="211"/>
      <c r="D704" s="317"/>
      <c r="E704" s="1197"/>
    </row>
    <row r="705" spans="1:9" hidden="1">
      <c r="A705" s="242"/>
      <c r="B705" s="211"/>
      <c r="C705" s="211"/>
      <c r="D705" s="317"/>
      <c r="E705" s="1197"/>
    </row>
    <row r="706" spans="1:9" hidden="1">
      <c r="A706" s="242"/>
      <c r="B706" s="211"/>
      <c r="C706" s="211"/>
      <c r="D706" s="741"/>
      <c r="E706" s="1197"/>
      <c r="F706" s="742"/>
      <c r="G706" s="742"/>
      <c r="H706" s="742"/>
      <c r="I706" s="742"/>
    </row>
    <row r="707" spans="1:9" hidden="1">
      <c r="A707" s="242"/>
      <c r="B707" s="211"/>
      <c r="C707" s="211"/>
      <c r="D707" s="741"/>
      <c r="E707" s="1197"/>
      <c r="F707" s="742"/>
      <c r="G707" s="742"/>
      <c r="H707" s="742"/>
      <c r="I707" s="742"/>
    </row>
    <row r="708" spans="1:9" hidden="1">
      <c r="A708" s="242"/>
      <c r="B708" s="211"/>
      <c r="C708" s="211"/>
      <c r="D708" s="317"/>
      <c r="E708" s="1197"/>
    </row>
    <row r="709" spans="1:9" hidden="1">
      <c r="A709" s="242"/>
      <c r="B709" s="211"/>
      <c r="C709" s="211"/>
      <c r="D709" s="317"/>
      <c r="E709" s="1197"/>
    </row>
    <row r="710" spans="1:9" hidden="1">
      <c r="A710" s="242"/>
      <c r="B710" s="721"/>
      <c r="C710" s="1197"/>
      <c r="D710" s="317"/>
      <c r="E710" s="1197"/>
    </row>
    <row r="711" spans="1:9" hidden="1">
      <c r="A711" s="242"/>
      <c r="B711" s="753"/>
      <c r="C711" s="1197"/>
      <c r="D711" s="317"/>
      <c r="E711" s="1197"/>
    </row>
    <row r="712" spans="1:9" hidden="1">
      <c r="A712" s="242"/>
      <c r="B712" s="211"/>
      <c r="C712" s="211"/>
      <c r="D712" s="741"/>
      <c r="E712" s="1197"/>
      <c r="F712" s="742"/>
      <c r="G712" s="742"/>
      <c r="H712" s="742"/>
      <c r="I712" s="742"/>
    </row>
    <row r="713" spans="1:9" hidden="1">
      <c r="A713" s="242"/>
      <c r="B713" s="721"/>
      <c r="C713" s="1197"/>
      <c r="D713" s="741"/>
      <c r="E713" s="1197"/>
      <c r="F713" s="742"/>
      <c r="G713" s="742"/>
      <c r="H713" s="742"/>
      <c r="I713" s="742"/>
    </row>
    <row r="714" spans="1:9" hidden="1">
      <c r="A714" s="242"/>
      <c r="B714" s="721"/>
      <c r="C714" s="1197"/>
      <c r="D714" s="741"/>
      <c r="E714" s="1197"/>
      <c r="F714" s="742"/>
      <c r="G714" s="742"/>
      <c r="H714" s="742"/>
      <c r="I714" s="742"/>
    </row>
    <row r="715" spans="1:9" hidden="1">
      <c r="A715" s="242"/>
      <c r="B715" s="753"/>
      <c r="C715" s="1197"/>
      <c r="D715" s="317"/>
      <c r="E715" s="1197"/>
    </row>
    <row r="716" spans="1:9" hidden="1">
      <c r="A716" s="242"/>
      <c r="B716" s="1742"/>
      <c r="C716" s="1742"/>
      <c r="D716" s="741"/>
      <c r="E716" s="1197"/>
      <c r="F716" s="742"/>
      <c r="G716" s="742"/>
      <c r="H716" s="742"/>
      <c r="I716" s="742"/>
    </row>
    <row r="717" spans="1:9" hidden="1">
      <c r="A717" s="242"/>
      <c r="B717" s="721"/>
      <c r="C717" s="1197"/>
      <c r="D717" s="741"/>
      <c r="E717" s="1197"/>
      <c r="F717" s="742"/>
      <c r="G717" s="742"/>
      <c r="H717" s="742"/>
      <c r="I717" s="742"/>
    </row>
    <row r="718" spans="1:9" hidden="1">
      <c r="A718" s="242"/>
      <c r="B718" s="721"/>
      <c r="C718" s="1197"/>
      <c r="D718" s="317"/>
      <c r="E718" s="1197"/>
    </row>
    <row r="719" spans="1:9" hidden="1">
      <c r="A719" s="242"/>
      <c r="B719" s="760"/>
      <c r="C719" s="1197"/>
      <c r="D719" s="317"/>
      <c r="E719" s="1197"/>
    </row>
    <row r="720" spans="1:9" hidden="1">
      <c r="A720" s="242"/>
      <c r="B720" s="721"/>
      <c r="C720" s="1197"/>
      <c r="D720" s="317"/>
      <c r="E720" s="1197"/>
    </row>
    <row r="721" spans="1:9" hidden="1">
      <c r="A721" s="242"/>
      <c r="B721" s="1742"/>
      <c r="C721" s="1742"/>
      <c r="D721" s="741"/>
      <c r="E721" s="1197"/>
      <c r="F721" s="742"/>
      <c r="G721" s="742"/>
      <c r="H721" s="742"/>
      <c r="I721" s="742"/>
    </row>
    <row r="722" spans="1:9" hidden="1">
      <c r="A722" s="242"/>
      <c r="B722" s="753"/>
      <c r="C722" s="1197"/>
      <c r="D722" s="741"/>
      <c r="E722" s="1197"/>
      <c r="F722" s="742"/>
      <c r="G722" s="742"/>
      <c r="H722" s="742"/>
      <c r="I722" s="742"/>
    </row>
    <row r="723" spans="1:9" hidden="1">
      <c r="A723" s="242"/>
      <c r="B723" s="721"/>
      <c r="C723" s="1197"/>
      <c r="D723" s="317"/>
      <c r="E723" s="1197"/>
    </row>
    <row r="724" spans="1:9" hidden="1">
      <c r="A724" s="242"/>
      <c r="B724" s="135"/>
      <c r="C724" s="1197"/>
      <c r="D724" s="1192"/>
      <c r="E724" s="1197"/>
      <c r="F724" s="1192"/>
    </row>
    <row r="725" spans="1:9" hidden="1">
      <c r="A725" s="242"/>
      <c r="B725" s="135"/>
      <c r="C725" s="1197"/>
      <c r="D725" s="1192"/>
      <c r="E725" s="1197"/>
      <c r="F725" s="1192"/>
    </row>
    <row r="726" spans="1:9" hidden="1">
      <c r="A726" s="242"/>
      <c r="B726" s="1197"/>
      <c r="C726" s="1197"/>
      <c r="D726" s="317"/>
      <c r="E726" s="1197"/>
    </row>
    <row r="727" spans="1:9" hidden="1">
      <c r="A727" s="242"/>
      <c r="B727" s="1197"/>
      <c r="C727" s="1197"/>
      <c r="D727" s="317"/>
      <c r="E727" s="1197"/>
    </row>
    <row r="728" spans="1:9" hidden="1">
      <c r="A728" s="242"/>
      <c r="B728" s="1197"/>
      <c r="C728" s="1197"/>
      <c r="D728" s="317"/>
      <c r="E728" s="1197"/>
    </row>
    <row r="729" spans="1:9" hidden="1">
      <c r="A729" s="242"/>
      <c r="B729" s="1197"/>
      <c r="C729" s="1197"/>
      <c r="D729" s="317"/>
      <c r="E729" s="1197"/>
    </row>
    <row r="730" spans="1:9" hidden="1">
      <c r="A730" s="242"/>
      <c r="B730" s="1197"/>
      <c r="C730" s="1197"/>
      <c r="D730" s="317"/>
      <c r="E730" s="1197"/>
    </row>
    <row r="731" spans="1:9" hidden="1">
      <c r="A731" s="242"/>
      <c r="B731" s="1197"/>
      <c r="C731" s="1197"/>
      <c r="D731" s="317"/>
      <c r="E731" s="1197"/>
    </row>
    <row r="732" spans="1:9" hidden="1">
      <c r="A732" s="242"/>
      <c r="B732" s="1197"/>
      <c r="C732" s="1197"/>
      <c r="D732" s="317"/>
      <c r="E732" s="1197"/>
    </row>
    <row r="733" spans="1:9" hidden="1">
      <c r="A733" s="242"/>
      <c r="B733" s="1197"/>
      <c r="C733" s="1197"/>
      <c r="D733" s="317"/>
      <c r="E733" s="1197"/>
    </row>
    <row r="734" spans="1:9" hidden="1">
      <c r="A734" s="242"/>
      <c r="B734" s="1197"/>
      <c r="C734" s="1197"/>
      <c r="D734" s="317"/>
      <c r="E734" s="1197"/>
    </row>
    <row r="735" spans="1:9" hidden="1">
      <c r="A735" s="242"/>
      <c r="B735" s="1197"/>
      <c r="C735" s="1197"/>
      <c r="D735" s="317"/>
      <c r="E735" s="1197"/>
    </row>
    <row r="736" spans="1:9" hidden="1">
      <c r="A736" s="242"/>
      <c r="B736" s="1197"/>
      <c r="C736" s="1197"/>
      <c r="D736" s="317"/>
      <c r="E736" s="1197"/>
    </row>
    <row r="737" spans="1:5" hidden="1">
      <c r="A737" s="242"/>
      <c r="B737" s="1197"/>
      <c r="C737" s="1197"/>
      <c r="D737" s="317"/>
      <c r="E737" s="1197"/>
    </row>
    <row r="738" spans="1:5" hidden="1">
      <c r="A738" s="242"/>
      <c r="B738" s="1197"/>
      <c r="C738" s="1197"/>
      <c r="D738" s="317"/>
      <c r="E738" s="1197"/>
    </row>
    <row r="739" spans="1:5" hidden="1">
      <c r="A739" s="242"/>
      <c r="B739" s="1197"/>
      <c r="C739" s="1197"/>
      <c r="D739" s="317"/>
      <c r="E739" s="1197"/>
    </row>
    <row r="740" spans="1:5" hidden="1">
      <c r="A740" s="242"/>
      <c r="B740" s="1197"/>
      <c r="C740" s="1197"/>
      <c r="D740" s="317"/>
      <c r="E740" s="1197"/>
    </row>
    <row r="741" spans="1:5" hidden="1">
      <c r="A741" s="242"/>
      <c r="B741" s="1197"/>
      <c r="C741" s="1197"/>
      <c r="D741" s="317"/>
      <c r="E741" s="1197"/>
    </row>
    <row r="742" spans="1:5" hidden="1">
      <c r="A742" s="242"/>
      <c r="B742" s="1197"/>
      <c r="C742" s="1197"/>
      <c r="D742" s="317"/>
      <c r="E742" s="1197"/>
    </row>
    <row r="743" spans="1:5" hidden="1">
      <c r="A743" s="242"/>
      <c r="B743" s="1197"/>
      <c r="C743" s="1197"/>
      <c r="D743" s="317"/>
      <c r="E743" s="1197"/>
    </row>
    <row r="744" spans="1:5" hidden="1">
      <c r="A744" s="242"/>
      <c r="B744" s="1197"/>
      <c r="C744" s="1197"/>
      <c r="D744" s="317"/>
      <c r="E744" s="1197"/>
    </row>
    <row r="745" spans="1:5" hidden="1">
      <c r="A745" s="242"/>
      <c r="B745" s="1197"/>
      <c r="C745" s="1197"/>
      <c r="D745" s="317"/>
      <c r="E745" s="1197"/>
    </row>
    <row r="746" spans="1:5" hidden="1">
      <c r="A746" s="242"/>
      <c r="B746" s="1197"/>
      <c r="C746" s="1197"/>
      <c r="D746" s="317"/>
      <c r="E746" s="1197"/>
    </row>
    <row r="747" spans="1:5" hidden="1">
      <c r="A747" s="242"/>
      <c r="B747" s="1197"/>
      <c r="C747" s="1197"/>
      <c r="D747" s="317"/>
      <c r="E747" s="1197"/>
    </row>
    <row r="748" spans="1:5" hidden="1">
      <c r="A748" s="242"/>
      <c r="B748" s="1197"/>
      <c r="C748" s="1197"/>
      <c r="D748" s="317"/>
      <c r="E748" s="1197"/>
    </row>
    <row r="749" spans="1:5" hidden="1">
      <c r="A749" s="242"/>
      <c r="B749" s="1197"/>
      <c r="C749" s="1197"/>
      <c r="D749" s="317"/>
      <c r="E749" s="1197"/>
    </row>
    <row r="750" spans="1:5" hidden="1">
      <c r="A750" s="242"/>
      <c r="B750" s="1197"/>
      <c r="C750" s="1197"/>
      <c r="D750" s="317"/>
      <c r="E750" s="1197"/>
    </row>
    <row r="751" spans="1:5" hidden="1">
      <c r="A751" s="242"/>
      <c r="B751" s="1197"/>
      <c r="C751" s="1197"/>
      <c r="D751" s="317"/>
      <c r="E751" s="1197"/>
    </row>
    <row r="752" spans="1:5" hidden="1">
      <c r="A752" s="1202">
        <v>58</v>
      </c>
      <c r="B752" s="125" t="s">
        <v>2162</v>
      </c>
    </row>
    <row r="753" spans="1:2" hidden="1">
      <c r="B753" s="125"/>
    </row>
    <row r="754" spans="1:2" hidden="1">
      <c r="A754" s="1202">
        <v>58.1</v>
      </c>
      <c r="B754" s="125" t="s">
        <v>2163</v>
      </c>
    </row>
    <row r="755" spans="1:2" hidden="1">
      <c r="B755" s="125"/>
    </row>
    <row r="756" spans="1:2" ht="51" hidden="1">
      <c r="B756" s="408" t="s">
        <v>2164</v>
      </c>
    </row>
    <row r="757" spans="1:2" hidden="1">
      <c r="B757" s="408"/>
    </row>
    <row r="758" spans="1:2" ht="165.75" hidden="1">
      <c r="B758" s="941" t="s">
        <v>2165</v>
      </c>
    </row>
    <row r="759" spans="1:2" hidden="1">
      <c r="B759" s="408"/>
    </row>
    <row r="760" spans="1:2" ht="25.5" hidden="1">
      <c r="B760" s="408" t="s">
        <v>2166</v>
      </c>
    </row>
    <row r="761" spans="1:2" hidden="1">
      <c r="B761" s="408"/>
    </row>
    <row r="762" spans="1:2" hidden="1">
      <c r="B762" s="408" t="s">
        <v>2167</v>
      </c>
    </row>
    <row r="763" spans="1:2" hidden="1">
      <c r="B763" s="408" t="s">
        <v>2168</v>
      </c>
    </row>
    <row r="764" spans="1:2" hidden="1">
      <c r="B764" s="408" t="s">
        <v>2169</v>
      </c>
    </row>
    <row r="765" spans="1:2" hidden="1">
      <c r="B765" s="408" t="s">
        <v>2170</v>
      </c>
    </row>
    <row r="766" spans="1:2" hidden="1">
      <c r="B766" s="408" t="s">
        <v>2171</v>
      </c>
    </row>
    <row r="767" spans="1:2" hidden="1">
      <c r="B767" s="408"/>
    </row>
    <row r="768" spans="1:2" ht="25.5" hidden="1">
      <c r="B768" s="408" t="s">
        <v>2172</v>
      </c>
    </row>
    <row r="769" spans="1:2" ht="51" hidden="1">
      <c r="B769" s="408" t="s">
        <v>2173</v>
      </c>
    </row>
    <row r="770" spans="1:2" hidden="1">
      <c r="B770" s="408"/>
    </row>
    <row r="771" spans="1:2" hidden="1">
      <c r="A771" s="1202">
        <v>58.2</v>
      </c>
      <c r="B771" s="762" t="s">
        <v>2174</v>
      </c>
    </row>
    <row r="772" spans="1:2" hidden="1">
      <c r="B772" s="762"/>
    </row>
    <row r="773" spans="1:2" ht="51" hidden="1">
      <c r="B773" s="408" t="s">
        <v>2175</v>
      </c>
    </row>
    <row r="774" spans="1:2" ht="25.5" hidden="1">
      <c r="B774" s="408" t="s">
        <v>2176</v>
      </c>
    </row>
    <row r="775" spans="1:2" ht="63.75" hidden="1">
      <c r="B775" s="941" t="s">
        <v>2177</v>
      </c>
    </row>
    <row r="776" spans="1:2" hidden="1">
      <c r="B776" s="762" t="s">
        <v>2178</v>
      </c>
    </row>
    <row r="777" spans="1:2" hidden="1">
      <c r="B777" s="408" t="s">
        <v>2179</v>
      </c>
    </row>
    <row r="778" spans="1:2" hidden="1">
      <c r="B778" s="408" t="s">
        <v>2180</v>
      </c>
    </row>
    <row r="779" spans="1:2" hidden="1">
      <c r="B779" s="408" t="s">
        <v>1326</v>
      </c>
    </row>
    <row r="780" spans="1:2" hidden="1">
      <c r="B780" s="408" t="s">
        <v>2161</v>
      </c>
    </row>
    <row r="781" spans="1:2" hidden="1">
      <c r="B781" s="408"/>
    </row>
    <row r="782" spans="1:2" hidden="1">
      <c r="B782" s="762" t="s">
        <v>2178</v>
      </c>
    </row>
    <row r="783" spans="1:2" hidden="1">
      <c r="B783" s="408" t="s">
        <v>2179</v>
      </c>
    </row>
    <row r="784" spans="1:2" hidden="1">
      <c r="B784" s="408" t="s">
        <v>2180</v>
      </c>
    </row>
    <row r="785" spans="1:2" hidden="1">
      <c r="B785" s="408" t="s">
        <v>1326</v>
      </c>
    </row>
    <row r="786" spans="1:2" hidden="1">
      <c r="B786" s="408" t="s">
        <v>2161</v>
      </c>
    </row>
    <row r="787" spans="1:2" hidden="1">
      <c r="B787" s="408"/>
    </row>
    <row r="788" spans="1:2" hidden="1">
      <c r="B788" s="762" t="s">
        <v>2181</v>
      </c>
    </row>
    <row r="789" spans="1:2" hidden="1">
      <c r="B789" s="408" t="s">
        <v>2179</v>
      </c>
    </row>
    <row r="790" spans="1:2" hidden="1">
      <c r="B790" s="408" t="s">
        <v>2180</v>
      </c>
    </row>
    <row r="791" spans="1:2" hidden="1">
      <c r="B791" s="408" t="s">
        <v>1326</v>
      </c>
    </row>
    <row r="792" spans="1:2" hidden="1">
      <c r="B792" s="408" t="s">
        <v>2161</v>
      </c>
    </row>
    <row r="793" spans="1:2" hidden="1">
      <c r="B793" s="408"/>
    </row>
    <row r="794" spans="1:2" hidden="1">
      <c r="B794" s="762" t="s">
        <v>2181</v>
      </c>
    </row>
    <row r="795" spans="1:2" hidden="1">
      <c r="B795" s="408" t="s">
        <v>2179</v>
      </c>
    </row>
    <row r="796" spans="1:2" hidden="1">
      <c r="B796" s="408" t="s">
        <v>2180</v>
      </c>
    </row>
    <row r="797" spans="1:2" hidden="1">
      <c r="B797" s="408" t="s">
        <v>1326</v>
      </c>
    </row>
    <row r="798" spans="1:2" hidden="1">
      <c r="B798" s="408" t="s">
        <v>2161</v>
      </c>
    </row>
    <row r="799" spans="1:2" hidden="1">
      <c r="B799" s="408"/>
    </row>
    <row r="800" spans="1:2" hidden="1">
      <c r="A800" s="1202">
        <v>58.3</v>
      </c>
      <c r="B800" s="762" t="s">
        <v>2182</v>
      </c>
    </row>
    <row r="801" spans="1:2" hidden="1">
      <c r="B801" s="762"/>
    </row>
    <row r="802" spans="1:2" ht="51" hidden="1">
      <c r="B802" s="408" t="s">
        <v>2183</v>
      </c>
    </row>
    <row r="803" spans="1:2" hidden="1">
      <c r="B803" s="942" t="s">
        <v>2184</v>
      </c>
    </row>
    <row r="804" spans="1:2" ht="89.25" hidden="1">
      <c r="B804" s="941" t="s">
        <v>2185</v>
      </c>
    </row>
    <row r="805" spans="1:2" hidden="1">
      <c r="B805" s="941"/>
    </row>
    <row r="806" spans="1:2" ht="25.5" hidden="1">
      <c r="B806" s="408" t="s">
        <v>2186</v>
      </c>
    </row>
    <row r="807" spans="1:2" hidden="1">
      <c r="B807" s="408"/>
    </row>
    <row r="808" spans="1:2" hidden="1">
      <c r="B808" s="943" t="s">
        <v>2187</v>
      </c>
    </row>
    <row r="809" spans="1:2" hidden="1">
      <c r="B809" s="943" t="s">
        <v>2188</v>
      </c>
    </row>
    <row r="810" spans="1:2" hidden="1">
      <c r="B810" s="943" t="s">
        <v>2189</v>
      </c>
    </row>
    <row r="811" spans="1:2" hidden="1">
      <c r="B811" s="943" t="s">
        <v>2190</v>
      </c>
    </row>
    <row r="812" spans="1:2" hidden="1">
      <c r="B812" s="943" t="s">
        <v>2191</v>
      </c>
    </row>
    <row r="813" spans="1:2" hidden="1">
      <c r="B813" s="408"/>
    </row>
    <row r="814" spans="1:2" hidden="1">
      <c r="A814" s="1202">
        <v>58.4</v>
      </c>
      <c r="B814" s="762" t="s">
        <v>2192</v>
      </c>
    </row>
    <row r="815" spans="1:2" hidden="1">
      <c r="B815" s="408"/>
    </row>
    <row r="816" spans="1:2" hidden="1">
      <c r="B816" s="408" t="s">
        <v>2193</v>
      </c>
    </row>
    <row r="817" spans="1:2" hidden="1">
      <c r="B817" s="408"/>
    </row>
    <row r="818" spans="1:2" hidden="1">
      <c r="B818" s="408"/>
    </row>
    <row r="819" spans="1:2" hidden="1">
      <c r="B819" s="408"/>
    </row>
    <row r="820" spans="1:2" hidden="1">
      <c r="A820" s="1202">
        <v>59</v>
      </c>
      <c r="B820" s="125" t="s">
        <v>2194</v>
      </c>
    </row>
    <row r="821" spans="1:2" hidden="1">
      <c r="B821" s="125"/>
    </row>
    <row r="822" spans="1:2" ht="38.25" hidden="1">
      <c r="B822" s="408" t="s">
        <v>2195</v>
      </c>
    </row>
    <row r="823" spans="1:2" hidden="1">
      <c r="B823" s="408"/>
    </row>
    <row r="824" spans="1:2" hidden="1">
      <c r="B824" s="125" t="s">
        <v>2196</v>
      </c>
    </row>
    <row r="825" spans="1:2" hidden="1">
      <c r="B825" s="363" t="s">
        <v>460</v>
      </c>
    </row>
    <row r="826" spans="1:2" hidden="1">
      <c r="B826" s="363" t="s">
        <v>2197</v>
      </c>
    </row>
    <row r="827" spans="1:2" hidden="1">
      <c r="B827" s="363" t="s">
        <v>2198</v>
      </c>
    </row>
    <row r="828" spans="1:2" hidden="1">
      <c r="B828" s="363"/>
    </row>
    <row r="829" spans="1:2" hidden="1">
      <c r="B829" s="363"/>
    </row>
    <row r="830" spans="1:2" hidden="1">
      <c r="A830" s="1202">
        <v>60</v>
      </c>
      <c r="B830" s="125" t="s">
        <v>2199</v>
      </c>
    </row>
    <row r="831" spans="1:2" hidden="1">
      <c r="B831" s="125"/>
    </row>
    <row r="832" spans="1:2" ht="38.25" hidden="1">
      <c r="B832" s="408" t="s">
        <v>2200</v>
      </c>
    </row>
    <row r="833" spans="1:2" hidden="1"/>
    <row r="834" spans="1:2" hidden="1"/>
    <row r="835" spans="1:2" hidden="1">
      <c r="A835" s="1202">
        <v>61</v>
      </c>
      <c r="B835" s="125" t="s">
        <v>2149</v>
      </c>
    </row>
    <row r="836" spans="1:2" hidden="1">
      <c r="B836" s="125"/>
    </row>
    <row r="837" spans="1:2" ht="63.75" hidden="1">
      <c r="B837" s="408" t="s">
        <v>2150</v>
      </c>
    </row>
    <row r="838" spans="1:2" hidden="1">
      <c r="B838" s="408" t="s">
        <v>364</v>
      </c>
    </row>
    <row r="839" spans="1:2" hidden="1"/>
    <row r="840" spans="1:2" hidden="1">
      <c r="A840" s="1202">
        <v>62</v>
      </c>
      <c r="B840" s="125" t="s">
        <v>2223</v>
      </c>
    </row>
    <row r="841" spans="1:2" hidden="1">
      <c r="B841" s="363"/>
    </row>
    <row r="842" spans="1:2" hidden="1">
      <c r="B842" s="363" t="s">
        <v>284</v>
      </c>
    </row>
    <row r="843" spans="1:2" hidden="1">
      <c r="B843" s="363" t="s">
        <v>338</v>
      </c>
    </row>
    <row r="844" spans="1:2" hidden="1">
      <c r="B844" s="363" t="s">
        <v>1266</v>
      </c>
    </row>
    <row r="845" spans="1:2" hidden="1">
      <c r="B845" s="125"/>
    </row>
    <row r="846" spans="1:2" hidden="1">
      <c r="B846" s="369"/>
    </row>
    <row r="847" spans="1:2" hidden="1">
      <c r="B847" s="1739" t="s">
        <v>2224</v>
      </c>
    </row>
    <row r="848" spans="1:2" hidden="1">
      <c r="B848" s="1739"/>
    </row>
    <row r="849" spans="2:2" hidden="1">
      <c r="B849" s="1739"/>
    </row>
    <row r="850" spans="2:2" hidden="1"/>
    <row r="851" spans="2:2" hidden="1"/>
  </sheetData>
  <mergeCells count="17">
    <mergeCell ref="J245:M245"/>
    <mergeCell ref="J246:M246"/>
    <mergeCell ref="B847:B849"/>
    <mergeCell ref="B637:C637"/>
    <mergeCell ref="B638:C638"/>
    <mergeCell ref="B673:C673"/>
    <mergeCell ref="B716:C716"/>
    <mergeCell ref="B721:C721"/>
    <mergeCell ref="B95:D95"/>
    <mergeCell ref="B82:J82"/>
    <mergeCell ref="A1:K1"/>
    <mergeCell ref="A2:K2"/>
    <mergeCell ref="B59:J59"/>
    <mergeCell ref="B74:J74"/>
    <mergeCell ref="B42:G42"/>
    <mergeCell ref="B43:G43"/>
    <mergeCell ref="B44:F44"/>
  </mergeCells>
  <phoneticPr fontId="0" type="noConversion"/>
  <hyperlinks>
    <hyperlink ref="B618" location="_ftn2" display="_ftn2"/>
    <hyperlink ref="B614" location="_ftn1" display="_ftn1"/>
  </hyperlinks>
  <printOptions horizontalCentered="1"/>
  <pageMargins left="0.6692913385826772" right="0.39370078740157483" top="0.98425196850393704" bottom="0.98425196850393704" header="0.51181102362204722" footer="0.51181102362204722"/>
  <pageSetup scale="77" fitToHeight="6" orientation="portrait" r:id="rId1"/>
  <headerFooter>
    <oddHeader>&amp;C FINANCIAL STATEMENTS: MUSINA LOCAL MUNICIPALITY</oddHeader>
    <oddFooter>&amp;RPage &amp;P</oddFooter>
  </headerFooter>
  <rowBreaks count="5" manualBreakCount="5">
    <brk id="58" max="7" man="1"/>
    <brk id="91" max="7" man="1"/>
    <brk id="138" max="7" man="1"/>
    <brk id="237" max="7" man="1"/>
    <brk id="251" max="7" man="1"/>
  </rowBreaks>
</worksheet>
</file>

<file path=xl/worksheets/sheet21.xml><?xml version="1.0" encoding="utf-8"?>
<worksheet xmlns="http://schemas.openxmlformats.org/spreadsheetml/2006/main" xmlns:r="http://schemas.openxmlformats.org/officeDocument/2006/relationships">
  <sheetPr>
    <tabColor rgb="FF66FF66"/>
    <pageSetUpPr fitToPage="1"/>
  </sheetPr>
  <dimension ref="A1:T47"/>
  <sheetViews>
    <sheetView view="pageBreakPreview" zoomScaleSheetLayoutView="100" workbookViewId="0">
      <selection activeCell="C43" activeCellId="1" sqref="E18 C43"/>
    </sheetView>
  </sheetViews>
  <sheetFormatPr defaultRowHeight="12.75"/>
  <cols>
    <col min="1" max="1" width="44.85546875" style="369" bestFit="1" customWidth="1"/>
    <col min="2" max="2" width="2.85546875" style="369" hidden="1" customWidth="1"/>
    <col min="3" max="3" width="7.42578125" style="369" hidden="1" customWidth="1"/>
    <col min="4" max="4" width="7.42578125" style="369" customWidth="1"/>
    <col min="5" max="5" width="15.28515625" style="370" customWidth="1"/>
    <col min="6" max="6" width="14.7109375" style="369" customWidth="1"/>
    <col min="7" max="7" width="14.85546875" style="209" hidden="1" customWidth="1"/>
    <col min="8" max="8" width="13.7109375" style="209" hidden="1" customWidth="1"/>
    <col min="9" max="9" width="11.28515625" style="209" hidden="1" customWidth="1"/>
    <col min="10" max="10" width="14.7109375" style="209" hidden="1" customWidth="1"/>
    <col min="11" max="11" width="15.140625" style="212" bestFit="1" customWidth="1"/>
    <col min="12" max="12" width="12.85546875" style="212" bestFit="1" customWidth="1"/>
    <col min="13" max="13" width="13.7109375" style="369" customWidth="1"/>
    <col min="14" max="14" width="14.140625" style="212" customWidth="1"/>
    <col min="15" max="15" width="15.5703125" style="212" customWidth="1"/>
    <col min="16" max="16" width="3.140625" style="369" customWidth="1"/>
    <col min="17" max="17" width="13.7109375" style="369" customWidth="1"/>
    <col min="18" max="18" width="14.7109375" style="369" customWidth="1"/>
    <col min="19" max="16384" width="9.140625" style="369"/>
  </cols>
  <sheetData>
    <row r="1" spans="1:20" ht="15" customHeight="1">
      <c r="A1" s="1723" t="s">
        <v>493</v>
      </c>
      <c r="B1" s="1724"/>
      <c r="C1" s="1724"/>
      <c r="D1" s="1724"/>
      <c r="E1" s="1724"/>
      <c r="F1" s="1724"/>
      <c r="G1" s="1724"/>
      <c r="H1" s="1724"/>
      <c r="I1" s="1724"/>
      <c r="J1" s="1724"/>
      <c r="K1" s="1724"/>
      <c r="L1" s="1724"/>
      <c r="M1" s="1724"/>
      <c r="N1" s="1724"/>
      <c r="O1" s="1724"/>
      <c r="P1" s="1724"/>
      <c r="Q1" s="1724"/>
      <c r="R1" s="1725"/>
    </row>
    <row r="2" spans="1:20">
      <c r="A2" s="1718" t="s">
        <v>494</v>
      </c>
      <c r="B2" s="1686"/>
      <c r="C2" s="1686"/>
      <c r="D2" s="1686"/>
      <c r="E2" s="1686"/>
      <c r="F2" s="1686"/>
      <c r="G2" s="1686"/>
      <c r="H2" s="1686"/>
      <c r="I2" s="1686"/>
      <c r="J2" s="1686"/>
      <c r="K2" s="1686"/>
      <c r="L2" s="1686"/>
      <c r="M2" s="1686"/>
      <c r="N2" s="1686"/>
      <c r="O2" s="1686"/>
      <c r="P2" s="1686"/>
      <c r="Q2" s="1686"/>
      <c r="R2" s="1719"/>
    </row>
    <row r="3" spans="1:20">
      <c r="A3" s="1718" t="s">
        <v>2101</v>
      </c>
      <c r="B3" s="1686"/>
      <c r="C3" s="1686"/>
      <c r="D3" s="1686"/>
      <c r="E3" s="1686"/>
      <c r="F3" s="1686"/>
      <c r="G3" s="1686"/>
      <c r="H3" s="1686"/>
      <c r="I3" s="1686"/>
      <c r="J3" s="1686"/>
      <c r="K3" s="1686"/>
      <c r="L3" s="1686"/>
      <c r="M3" s="1686"/>
      <c r="N3" s="1686"/>
      <c r="O3" s="1686"/>
      <c r="P3" s="1686"/>
      <c r="Q3" s="1686"/>
      <c r="R3" s="1719"/>
    </row>
    <row r="4" spans="1:20" ht="13.5" thickBot="1">
      <c r="A4" s="388"/>
      <c r="R4" s="389"/>
    </row>
    <row r="5" spans="1:20" ht="75" customHeight="1" thickBot="1">
      <c r="A5" s="1743" t="s">
        <v>498</v>
      </c>
      <c r="B5" s="1743"/>
      <c r="C5" s="1743"/>
      <c r="D5" s="1163"/>
      <c r="E5" s="425" t="s">
        <v>499</v>
      </c>
      <c r="F5" s="1163" t="s">
        <v>500</v>
      </c>
      <c r="G5" s="426" t="s">
        <v>1823</v>
      </c>
      <c r="H5" s="426" t="s">
        <v>501</v>
      </c>
      <c r="I5" s="426" t="s">
        <v>502</v>
      </c>
      <c r="J5" s="426" t="s">
        <v>495</v>
      </c>
      <c r="K5" s="964" t="s">
        <v>1824</v>
      </c>
      <c r="L5" s="426" t="s">
        <v>501</v>
      </c>
      <c r="M5" s="426" t="s">
        <v>502</v>
      </c>
      <c r="N5" s="964" t="s">
        <v>495</v>
      </c>
      <c r="O5" s="964" t="s">
        <v>2107</v>
      </c>
      <c r="P5" s="426"/>
      <c r="Q5" s="1206" t="s">
        <v>2302</v>
      </c>
      <c r="R5" s="1206" t="s">
        <v>2303</v>
      </c>
    </row>
    <row r="6" spans="1:20" s="1025" customFormat="1" ht="12.75" customHeight="1">
      <c r="A6" s="390"/>
      <c r="B6" s="371"/>
      <c r="C6" s="371"/>
      <c r="D6" s="372" t="s">
        <v>1287</v>
      </c>
      <c r="E6" s="373"/>
      <c r="F6" s="371"/>
      <c r="G6" s="374" t="s">
        <v>1314</v>
      </c>
      <c r="H6" s="374" t="s">
        <v>1314</v>
      </c>
      <c r="I6" s="374" t="s">
        <v>1314</v>
      </c>
      <c r="J6" s="374" t="s">
        <v>1314</v>
      </c>
      <c r="K6" s="965" t="s">
        <v>1314</v>
      </c>
      <c r="L6" s="374" t="s">
        <v>1314</v>
      </c>
      <c r="M6" s="374" t="s">
        <v>1314</v>
      </c>
      <c r="N6" s="965" t="s">
        <v>1314</v>
      </c>
      <c r="O6" s="965" t="s">
        <v>1314</v>
      </c>
      <c r="P6" s="374"/>
      <c r="R6" s="392"/>
    </row>
    <row r="7" spans="1:20">
      <c r="A7" s="388"/>
      <c r="R7" s="389"/>
    </row>
    <row r="8" spans="1:20" s="1025" customFormat="1" ht="12.75" customHeight="1">
      <c r="A8" s="391" t="s">
        <v>1516</v>
      </c>
      <c r="B8" s="375"/>
      <c r="C8" s="376"/>
      <c r="D8" s="376"/>
      <c r="E8" s="377"/>
      <c r="F8" s="378"/>
      <c r="G8" s="379"/>
      <c r="H8" s="379"/>
      <c r="I8" s="379"/>
      <c r="J8" s="379"/>
      <c r="K8" s="385"/>
      <c r="L8" s="220"/>
      <c r="N8" s="220"/>
      <c r="O8" s="220"/>
      <c r="R8" s="392"/>
    </row>
    <row r="9" spans="1:20" s="1025" customFormat="1" ht="12.75" customHeight="1">
      <c r="A9" s="460" t="s">
        <v>1964</v>
      </c>
      <c r="B9" s="461"/>
      <c r="C9" s="462"/>
      <c r="D9" s="462">
        <v>0.125</v>
      </c>
      <c r="E9" s="463">
        <v>102905</v>
      </c>
      <c r="F9" s="464" t="s">
        <v>1517</v>
      </c>
      <c r="G9" s="465">
        <v>446051</v>
      </c>
      <c r="H9" s="466">
        <f>28107.33+24892.26</f>
        <v>52999.59</v>
      </c>
      <c r="I9" s="467">
        <v>0</v>
      </c>
      <c r="J9" s="468">
        <f>'main TB'!M34</f>
        <v>92163.43</v>
      </c>
      <c r="K9" s="966">
        <f t="shared" ref="K9:K28" si="0">+G9+I9-J9</f>
        <v>353887.57</v>
      </c>
      <c r="L9" s="469"/>
      <c r="M9" s="470"/>
      <c r="N9" s="966">
        <v>104043.87</v>
      </c>
      <c r="O9" s="1207">
        <f t="shared" ref="O9:O28" si="1">K9+M9-N9</f>
        <v>249843.7</v>
      </c>
      <c r="P9" s="412"/>
      <c r="Q9" s="482"/>
      <c r="R9" s="483"/>
    </row>
    <row r="10" spans="1:20" s="1025" customFormat="1" ht="12.75" customHeight="1">
      <c r="A10" s="471" t="s">
        <v>1965</v>
      </c>
      <c r="B10" s="375"/>
      <c r="C10" s="376"/>
      <c r="D10" s="376">
        <v>0.1168</v>
      </c>
      <c r="E10" s="380" t="s">
        <v>326</v>
      </c>
      <c r="F10" s="369" t="s">
        <v>1518</v>
      </c>
      <c r="G10" s="381">
        <v>233537</v>
      </c>
      <c r="H10" s="379">
        <f>13750.66+10432.67</f>
        <v>24183.33</v>
      </c>
      <c r="I10" s="382">
        <v>0</v>
      </c>
      <c r="J10" s="383">
        <v>110148.03</v>
      </c>
      <c r="K10" s="385">
        <f t="shared" si="0"/>
        <v>123388.97</v>
      </c>
      <c r="L10" s="220"/>
      <c r="N10" s="385">
        <v>123388.97</v>
      </c>
      <c r="O10" s="885">
        <f t="shared" si="1"/>
        <v>0</v>
      </c>
      <c r="P10" s="412"/>
      <c r="Q10" s="484"/>
      <c r="R10" s="485"/>
    </row>
    <row r="11" spans="1:20" s="1025" customFormat="1" ht="12.75" customHeight="1">
      <c r="A11" s="471" t="s">
        <v>1966</v>
      </c>
      <c r="B11" s="375"/>
      <c r="C11" s="376"/>
      <c r="D11" s="376">
        <v>0.1168</v>
      </c>
      <c r="E11" s="380" t="s">
        <v>326</v>
      </c>
      <c r="F11" s="369" t="s">
        <v>1518</v>
      </c>
      <c r="G11" s="381">
        <v>1028172</v>
      </c>
      <c r="H11" s="379">
        <f>60538.78+45930.96</f>
        <v>106469.73999999999</v>
      </c>
      <c r="I11" s="382">
        <v>0</v>
      </c>
      <c r="J11" s="383">
        <v>484938.82</v>
      </c>
      <c r="K11" s="385">
        <f t="shared" si="0"/>
        <v>543233.17999999993</v>
      </c>
      <c r="L11" s="220"/>
      <c r="N11" s="385">
        <v>543233.18000000005</v>
      </c>
      <c r="O11" s="885">
        <f t="shared" si="1"/>
        <v>0</v>
      </c>
      <c r="P11" s="412"/>
      <c r="Q11" s="484"/>
      <c r="R11" s="485"/>
    </row>
    <row r="12" spans="1:20" s="1025" customFormat="1" ht="12.75" customHeight="1">
      <c r="A12" s="471" t="s">
        <v>1967</v>
      </c>
      <c r="B12" s="375"/>
      <c r="C12" s="376"/>
      <c r="D12" s="376">
        <v>0.1168</v>
      </c>
      <c r="E12" s="380" t="s">
        <v>326</v>
      </c>
      <c r="F12" s="369" t="s">
        <v>1518</v>
      </c>
      <c r="G12" s="381">
        <v>240609</v>
      </c>
      <c r="H12" s="379">
        <f>14167.07+10748.6</f>
        <v>24915.67</v>
      </c>
      <c r="I12" s="382">
        <v>0</v>
      </c>
      <c r="J12" s="383">
        <v>113483.68</v>
      </c>
      <c r="K12" s="385">
        <f t="shared" si="0"/>
        <v>127125.32</v>
      </c>
      <c r="L12" s="220"/>
      <c r="N12" s="385">
        <v>127125.32</v>
      </c>
      <c r="O12" s="885">
        <f t="shared" si="1"/>
        <v>0</v>
      </c>
      <c r="P12" s="412"/>
      <c r="Q12" s="484"/>
      <c r="R12" s="485"/>
    </row>
    <row r="13" spans="1:20" s="1025" customFormat="1" ht="12.75" customHeight="1">
      <c r="A13" s="471" t="s">
        <v>1968</v>
      </c>
      <c r="B13" s="375"/>
      <c r="C13" s="376"/>
      <c r="D13" s="376">
        <v>0.1168</v>
      </c>
      <c r="E13" s="380" t="s">
        <v>326</v>
      </c>
      <c r="F13" s="369" t="s">
        <v>1518</v>
      </c>
      <c r="G13" s="381">
        <v>756990</v>
      </c>
      <c r="H13" s="379">
        <f>44571.57+33816.59</f>
        <v>78388.160000000003</v>
      </c>
      <c r="I13" s="382">
        <v>0</v>
      </c>
      <c r="J13" s="383">
        <v>357035.36</v>
      </c>
      <c r="K13" s="385">
        <f t="shared" si="0"/>
        <v>399954.64</v>
      </c>
      <c r="L13" s="220"/>
      <c r="N13" s="385">
        <v>399954.64</v>
      </c>
      <c r="O13" s="885">
        <f t="shared" si="1"/>
        <v>0</v>
      </c>
      <c r="P13" s="412"/>
      <c r="Q13" s="484"/>
      <c r="R13" s="485"/>
    </row>
    <row r="14" spans="1:20" s="1025" customFormat="1" ht="12.75" customHeight="1">
      <c r="A14" s="471" t="s">
        <v>1969</v>
      </c>
      <c r="B14" s="375"/>
      <c r="C14" s="376"/>
      <c r="D14" s="376">
        <v>0.1168</v>
      </c>
      <c r="E14" s="380" t="s">
        <v>326</v>
      </c>
      <c r="F14" s="369" t="s">
        <v>1518</v>
      </c>
      <c r="G14" s="381">
        <v>539573</v>
      </c>
      <c r="H14" s="379">
        <f>31770.05+24104.03</f>
        <v>55874.080000000002</v>
      </c>
      <c r="I14" s="382">
        <v>0</v>
      </c>
      <c r="J14" s="383">
        <v>254490.22</v>
      </c>
      <c r="K14" s="385">
        <f t="shared" si="0"/>
        <v>285082.78000000003</v>
      </c>
      <c r="L14" s="220"/>
      <c r="N14" s="385">
        <v>285082.78000000003</v>
      </c>
      <c r="O14" s="885">
        <f t="shared" si="1"/>
        <v>0</v>
      </c>
      <c r="P14" s="412"/>
      <c r="Q14" s="484"/>
      <c r="R14" s="485"/>
      <c r="T14" s="1025" t="s">
        <v>2471</v>
      </c>
    </row>
    <row r="15" spans="1:20" s="1025" customFormat="1" ht="12.75" customHeight="1">
      <c r="A15" s="471" t="s">
        <v>1970</v>
      </c>
      <c r="B15" s="375"/>
      <c r="C15" s="376"/>
      <c r="D15" s="376">
        <v>9.7299999999999998E-2</v>
      </c>
      <c r="E15" s="380">
        <v>102405</v>
      </c>
      <c r="F15" s="369" t="s">
        <v>1519</v>
      </c>
      <c r="G15" s="381">
        <v>1434906</v>
      </c>
      <c r="H15" s="379">
        <f>70381.92+64860.42</f>
        <v>135242.34</v>
      </c>
      <c r="I15" s="382">
        <v>0</v>
      </c>
      <c r="J15" s="383">
        <v>34610.559999999998</v>
      </c>
      <c r="K15" s="385">
        <f t="shared" si="0"/>
        <v>1400295.44</v>
      </c>
      <c r="L15" s="220"/>
      <c r="N15" s="385">
        <f>37097.76+3015.17</f>
        <v>40112.93</v>
      </c>
      <c r="O15" s="885">
        <f t="shared" si="1"/>
        <v>1360182.51</v>
      </c>
      <c r="P15" s="412"/>
      <c r="Q15" s="484"/>
      <c r="R15" s="485"/>
    </row>
    <row r="16" spans="1:20" s="1025" customFormat="1" ht="12.75" customHeight="1">
      <c r="A16" s="471" t="s">
        <v>1971</v>
      </c>
      <c r="B16" s="375"/>
      <c r="C16" s="376"/>
      <c r="D16" s="376">
        <v>9.7299999999999998E-2</v>
      </c>
      <c r="E16" s="380">
        <v>102405</v>
      </c>
      <c r="F16" s="369" t="s">
        <v>1519</v>
      </c>
      <c r="G16" s="381">
        <v>863826</v>
      </c>
      <c r="H16" s="379">
        <f>42370.57+39046.57</f>
        <v>81417.14</v>
      </c>
      <c r="I16" s="382">
        <v>0</v>
      </c>
      <c r="J16" s="383">
        <v>20835.88</v>
      </c>
      <c r="K16" s="385">
        <f t="shared" si="0"/>
        <v>842990.12</v>
      </c>
      <c r="L16" s="220"/>
      <c r="N16" s="385">
        <f>22332.52+1815.15</f>
        <v>24147.670000000002</v>
      </c>
      <c r="O16" s="885">
        <f t="shared" si="1"/>
        <v>818842.45</v>
      </c>
      <c r="P16" s="412"/>
      <c r="Q16" s="484"/>
      <c r="R16" s="485"/>
      <c r="T16" s="1025">
        <f>15182117.63-15182118.39</f>
        <v>-0.75999999977648258</v>
      </c>
    </row>
    <row r="17" spans="1:20" s="1025" customFormat="1" ht="12.75" customHeight="1">
      <c r="A17" s="471" t="s">
        <v>1972</v>
      </c>
      <c r="B17" s="375"/>
      <c r="C17" s="376"/>
      <c r="D17" s="376">
        <v>9.7299999999999998E-2</v>
      </c>
      <c r="E17" s="380">
        <v>102405</v>
      </c>
      <c r="F17" s="369" t="s">
        <v>1519</v>
      </c>
      <c r="G17" s="381">
        <v>6314539</v>
      </c>
      <c r="H17" s="379">
        <f>309727.25+306814.47</f>
        <v>616541.72</v>
      </c>
      <c r="I17" s="384">
        <v>467566.93</v>
      </c>
      <c r="J17" s="383">
        <v>158177.09</v>
      </c>
      <c r="K17" s="385">
        <f t="shared" si="0"/>
        <v>6623928.8399999999</v>
      </c>
      <c r="L17" s="220"/>
      <c r="N17" s="385">
        <f>175484.49+462736.78</f>
        <v>638221.27</v>
      </c>
      <c r="O17" s="885">
        <f>K17+M17-N17</f>
        <v>5985707.5700000003</v>
      </c>
      <c r="P17" s="412"/>
      <c r="Q17" s="484"/>
      <c r="R17" s="485"/>
    </row>
    <row r="18" spans="1:20" s="1025" customFormat="1" ht="12.75" customHeight="1">
      <c r="A18" s="471" t="s">
        <v>1973</v>
      </c>
      <c r="B18" s="375"/>
      <c r="C18" s="376"/>
      <c r="D18" s="376">
        <v>0.125</v>
      </c>
      <c r="E18" s="380">
        <v>103431</v>
      </c>
      <c r="F18" s="369" t="s">
        <v>1520</v>
      </c>
      <c r="G18" s="212">
        <v>5184247</v>
      </c>
      <c r="H18" s="379">
        <f>218410.78+222898.98</f>
        <v>441309.76</v>
      </c>
      <c r="I18" s="384">
        <v>1007332.43</v>
      </c>
      <c r="J18" s="385">
        <v>218410.78</v>
      </c>
      <c r="K18" s="385">
        <f t="shared" si="0"/>
        <v>5973168.6499999994</v>
      </c>
      <c r="L18" s="220"/>
      <c r="N18" s="385">
        <f>934425.65-685977.97</f>
        <v>248447.68000000005</v>
      </c>
      <c r="O18" s="885">
        <f t="shared" si="1"/>
        <v>5724720.9699999997</v>
      </c>
      <c r="P18" s="412"/>
      <c r="Q18" s="484"/>
      <c r="R18" s="485"/>
    </row>
    <row r="19" spans="1:20" s="1025" customFormat="1" ht="12.75" customHeight="1">
      <c r="A19" s="471" t="s">
        <v>1974</v>
      </c>
      <c r="B19" s="375"/>
      <c r="C19" s="376"/>
      <c r="D19" s="376">
        <v>0.105</v>
      </c>
      <c r="E19" s="380">
        <v>77532299</v>
      </c>
      <c r="F19" s="369" t="s">
        <v>1521</v>
      </c>
      <c r="G19" s="212">
        <v>106356</v>
      </c>
      <c r="H19" s="379">
        <f>5227.47+4486.97</f>
        <v>9714.44</v>
      </c>
      <c r="I19" s="384">
        <v>0</v>
      </c>
      <c r="J19" s="383">
        <v>21153.29</v>
      </c>
      <c r="K19" s="385">
        <f t="shared" si="0"/>
        <v>85202.709999999992</v>
      </c>
      <c r="L19" s="220"/>
      <c r="N19" s="385">
        <v>23666.63</v>
      </c>
      <c r="O19" s="885">
        <f t="shared" si="1"/>
        <v>61536.079999999987</v>
      </c>
      <c r="P19" s="412"/>
      <c r="Q19" s="484"/>
      <c r="R19" s="485"/>
      <c r="T19" s="1025">
        <f>1261231.12-1260932.06</f>
        <v>299.06000000005588</v>
      </c>
    </row>
    <row r="20" spans="1:20" s="1025" customFormat="1" ht="12.75" customHeight="1">
      <c r="A20" s="471" t="s">
        <v>1974</v>
      </c>
      <c r="B20" s="375"/>
      <c r="C20" s="376"/>
      <c r="D20" s="376">
        <v>0.105</v>
      </c>
      <c r="E20" s="380">
        <v>77532345</v>
      </c>
      <c r="F20" s="369" t="s">
        <v>1521</v>
      </c>
      <c r="G20" s="212">
        <v>106356</v>
      </c>
      <c r="H20" s="379">
        <f>5227.47+4486.97</f>
        <v>9714.44</v>
      </c>
      <c r="I20" s="384">
        <v>0</v>
      </c>
      <c r="J20" s="383">
        <v>21153.29</v>
      </c>
      <c r="K20" s="385">
        <f t="shared" si="0"/>
        <v>85202.709999999992</v>
      </c>
      <c r="L20" s="220"/>
      <c r="N20" s="385">
        <v>23666.63</v>
      </c>
      <c r="O20" s="885">
        <f t="shared" si="1"/>
        <v>61536.079999999987</v>
      </c>
      <c r="P20" s="412"/>
      <c r="Q20" s="484"/>
      <c r="R20" s="485"/>
    </row>
    <row r="21" spans="1:20" s="1025" customFormat="1" ht="12.75" customHeight="1">
      <c r="A21" s="471" t="s">
        <v>1975</v>
      </c>
      <c r="B21" s="375"/>
      <c r="C21" s="376"/>
      <c r="D21" s="376">
        <v>0.105</v>
      </c>
      <c r="E21" s="380">
        <v>77532043</v>
      </c>
      <c r="F21" s="369" t="s">
        <v>1521</v>
      </c>
      <c r="G21" s="212">
        <v>229459</v>
      </c>
      <c r="H21" s="379">
        <f>11278.04+9680.4</f>
        <v>20958.440000000002</v>
      </c>
      <c r="I21" s="384">
        <v>0</v>
      </c>
      <c r="J21" s="383">
        <v>45637.26</v>
      </c>
      <c r="K21" s="385">
        <f t="shared" si="0"/>
        <v>183821.74</v>
      </c>
      <c r="L21" s="220"/>
      <c r="N21" s="385">
        <v>51059.62</v>
      </c>
      <c r="O21" s="885">
        <f t="shared" si="1"/>
        <v>132762.12</v>
      </c>
      <c r="P21" s="412"/>
      <c r="Q21" s="484"/>
      <c r="R21" s="485"/>
    </row>
    <row r="22" spans="1:20" s="1025" customFormat="1" ht="12.75" customHeight="1">
      <c r="A22" s="471" t="s">
        <v>1976</v>
      </c>
      <c r="B22" s="375"/>
      <c r="C22" s="376"/>
      <c r="D22" s="376">
        <v>0.105</v>
      </c>
      <c r="E22" s="380">
        <v>77552362</v>
      </c>
      <c r="F22" s="369" t="s">
        <v>1521</v>
      </c>
      <c r="G22" s="212">
        <v>204239</v>
      </c>
      <c r="H22" s="379">
        <f>10038.47+8616.42</f>
        <v>18654.89</v>
      </c>
      <c r="I22" s="384">
        <v>0</v>
      </c>
      <c r="J22" s="383">
        <v>40621.26</v>
      </c>
      <c r="K22" s="385">
        <f t="shared" si="0"/>
        <v>163617.74</v>
      </c>
      <c r="L22" s="220"/>
      <c r="N22" s="385">
        <f>45447.63-1.6</f>
        <v>45446.03</v>
      </c>
      <c r="O22" s="885">
        <f>K22+M22-N22</f>
        <v>118171.70999999999</v>
      </c>
      <c r="P22" s="412"/>
      <c r="Q22" s="484"/>
      <c r="R22" s="485"/>
    </row>
    <row r="23" spans="1:20" s="1025" customFormat="1" ht="12.75" customHeight="1">
      <c r="A23" s="471" t="s">
        <v>1974</v>
      </c>
      <c r="B23" s="375"/>
      <c r="C23" s="376"/>
      <c r="D23" s="376">
        <v>0.105</v>
      </c>
      <c r="E23" s="380">
        <v>77532310</v>
      </c>
      <c r="F23" s="369" t="s">
        <v>1521</v>
      </c>
      <c r="G23" s="212">
        <v>106356</v>
      </c>
      <c r="H23" s="379">
        <f>5227.47+4486.97</f>
        <v>9714.44</v>
      </c>
      <c r="I23" s="384">
        <v>0</v>
      </c>
      <c r="J23" s="383">
        <v>21153.29</v>
      </c>
      <c r="K23" s="385">
        <f t="shared" si="0"/>
        <v>85202.709999999992</v>
      </c>
      <c r="L23" s="220"/>
      <c r="N23" s="385">
        <v>23667</v>
      </c>
      <c r="O23" s="885">
        <f t="shared" si="1"/>
        <v>61535.709999999992</v>
      </c>
      <c r="P23" s="412"/>
      <c r="Q23" s="484"/>
      <c r="R23" s="485"/>
    </row>
    <row r="24" spans="1:20" s="1025" customFormat="1" ht="12.75" customHeight="1">
      <c r="A24" s="471" t="s">
        <v>1977</v>
      </c>
      <c r="B24" s="375"/>
      <c r="C24" s="376"/>
      <c r="D24" s="376">
        <v>0.105</v>
      </c>
      <c r="E24" s="380">
        <v>77532213</v>
      </c>
      <c r="F24" s="369" t="s">
        <v>1521</v>
      </c>
      <c r="G24" s="212">
        <v>260519</v>
      </c>
      <c r="H24" s="379">
        <f>12804.65+3961.66</f>
        <v>16766.309999999998</v>
      </c>
      <c r="I24" s="384">
        <v>0</v>
      </c>
      <c r="J24" s="383">
        <v>34068.94</v>
      </c>
      <c r="K24" s="385">
        <f t="shared" si="0"/>
        <v>226450.06</v>
      </c>
      <c r="L24" s="220"/>
      <c r="N24" s="385">
        <f>55485.78-300+0.76+171263.52</f>
        <v>226450.06</v>
      </c>
      <c r="O24" s="885">
        <f t="shared" si="1"/>
        <v>0</v>
      </c>
      <c r="P24" s="412"/>
      <c r="Q24" s="484"/>
      <c r="R24" s="485"/>
      <c r="T24" s="1025">
        <f>226450.06-128336.05</f>
        <v>98114.01</v>
      </c>
    </row>
    <row r="25" spans="1:20" s="1025" customFormat="1" ht="12.75" customHeight="1">
      <c r="A25" s="471" t="s">
        <v>1978</v>
      </c>
      <c r="B25" s="375"/>
      <c r="C25" s="376"/>
      <c r="D25" s="376">
        <v>0.105</v>
      </c>
      <c r="E25" s="380">
        <v>77531802</v>
      </c>
      <c r="F25" s="369" t="s">
        <v>1521</v>
      </c>
      <c r="G25" s="212">
        <v>184476</v>
      </c>
      <c r="H25" s="379">
        <f>9067.08+7782.64</f>
        <v>16849.72</v>
      </c>
      <c r="I25" s="384">
        <v>0</v>
      </c>
      <c r="J25" s="383">
        <v>36690.47</v>
      </c>
      <c r="K25" s="385">
        <f t="shared" si="0"/>
        <v>147785.53</v>
      </c>
      <c r="L25" s="220"/>
      <c r="N25" s="385">
        <v>41049.800000000003</v>
      </c>
      <c r="O25" s="885">
        <f t="shared" si="1"/>
        <v>106735.73</v>
      </c>
      <c r="P25" s="412"/>
      <c r="Q25" s="484"/>
      <c r="R25" s="485"/>
      <c r="T25" s="1025">
        <f>15182117.63-15182018.39</f>
        <v>99.240000000223517</v>
      </c>
    </row>
    <row r="26" spans="1:20" s="1025" customFormat="1" ht="12.75" customHeight="1">
      <c r="A26" s="471" t="s">
        <v>1979</v>
      </c>
      <c r="B26" s="375"/>
      <c r="C26" s="376"/>
      <c r="D26" s="376">
        <v>0.11</v>
      </c>
      <c r="E26" s="380">
        <v>77196795</v>
      </c>
      <c r="F26" s="369" t="s">
        <v>1522</v>
      </c>
      <c r="G26" s="212">
        <v>395744</v>
      </c>
      <c r="H26" s="379">
        <f>20348.42+17355.78</f>
        <v>37704.199999999997</v>
      </c>
      <c r="I26" s="384">
        <v>0</v>
      </c>
      <c r="J26" s="383">
        <v>84062.88</v>
      </c>
      <c r="K26" s="385">
        <f t="shared" si="0"/>
        <v>311681.12</v>
      </c>
      <c r="L26" s="220"/>
      <c r="N26" s="385">
        <v>94380.19</v>
      </c>
      <c r="O26" s="885">
        <f t="shared" si="1"/>
        <v>217300.93</v>
      </c>
      <c r="P26" s="412"/>
      <c r="Q26" s="484"/>
      <c r="R26" s="485"/>
    </row>
    <row r="27" spans="1:20" s="1025" customFormat="1" ht="12.75" customHeight="1">
      <c r="A27" s="471" t="s">
        <v>1980</v>
      </c>
      <c r="B27" s="375"/>
      <c r="C27" s="376"/>
      <c r="D27" s="376">
        <v>0.105</v>
      </c>
      <c r="E27" s="380">
        <v>77552214</v>
      </c>
      <c r="F27" s="369" t="s">
        <v>1521</v>
      </c>
      <c r="G27" s="212">
        <v>571030</v>
      </c>
      <c r="H27" s="379">
        <f>28066.45+24090.55</f>
        <v>52157</v>
      </c>
      <c r="I27" s="384">
        <v>0</v>
      </c>
      <c r="J27" s="383">
        <v>113272.58</v>
      </c>
      <c r="K27" s="385">
        <f t="shared" si="0"/>
        <v>457757.42</v>
      </c>
      <c r="L27" s="220"/>
      <c r="N27" s="385">
        <v>127366.39999999999</v>
      </c>
      <c r="O27" s="885">
        <f t="shared" si="1"/>
        <v>330391.02</v>
      </c>
      <c r="P27" s="412"/>
      <c r="Q27" s="484"/>
      <c r="R27" s="485"/>
      <c r="T27" s="1025">
        <f>457757.42-330391.01</f>
        <v>127366.40999999997</v>
      </c>
    </row>
    <row r="28" spans="1:20" s="1025" customFormat="1" ht="12.75" customHeight="1">
      <c r="A28" s="471" t="s">
        <v>1981</v>
      </c>
      <c r="B28" s="375"/>
      <c r="C28" s="376"/>
      <c r="D28" s="376">
        <v>0.1595</v>
      </c>
      <c r="E28" s="380" t="s">
        <v>1523</v>
      </c>
      <c r="F28" s="369" t="s">
        <v>1518</v>
      </c>
      <c r="G28" s="381">
        <v>232561</v>
      </c>
      <c r="H28" s="379">
        <f>18699.2+14321.04</f>
        <v>33020.240000000005</v>
      </c>
      <c r="I28" s="384"/>
      <c r="J28" s="383">
        <v>107375.96</v>
      </c>
      <c r="K28" s="385">
        <f t="shared" si="0"/>
        <v>125185.04</v>
      </c>
      <c r="L28" s="220"/>
      <c r="N28" s="385">
        <v>125185.04</v>
      </c>
      <c r="O28" s="885">
        <f t="shared" si="1"/>
        <v>0</v>
      </c>
      <c r="P28" s="412"/>
      <c r="Q28" s="484"/>
      <c r="R28" s="485"/>
    </row>
    <row r="29" spans="1:20" s="1025" customFormat="1" ht="12.75" customHeight="1">
      <c r="A29" s="472" t="s">
        <v>1963</v>
      </c>
      <c r="B29" s="473"/>
      <c r="C29" s="474"/>
      <c r="D29" s="474"/>
      <c r="E29" s="475"/>
      <c r="F29" s="407"/>
      <c r="G29" s="476"/>
      <c r="H29" s="477">
        <v>232283</v>
      </c>
      <c r="I29" s="478"/>
      <c r="J29" s="479"/>
      <c r="K29" s="967"/>
      <c r="L29" s="480"/>
      <c r="M29" s="409"/>
      <c r="N29" s="480"/>
      <c r="O29" s="972"/>
      <c r="Q29" s="486"/>
      <c r="R29" s="481"/>
    </row>
    <row r="30" spans="1:20" s="1025" customFormat="1" ht="12.75" customHeight="1">
      <c r="A30" s="388"/>
      <c r="B30" s="375"/>
      <c r="C30" s="376"/>
      <c r="D30" s="376"/>
      <c r="E30" s="380"/>
      <c r="F30" s="369"/>
      <c r="G30" s="381"/>
      <c r="H30" s="379"/>
      <c r="I30" s="384"/>
      <c r="J30" s="383"/>
      <c r="K30" s="385"/>
      <c r="L30" s="220"/>
      <c r="N30" s="220"/>
      <c r="O30" s="220"/>
      <c r="R30" s="392"/>
    </row>
    <row r="31" spans="1:20" s="1025" customFormat="1" ht="13.5" thickBot="1">
      <c r="A31" s="1748" t="s">
        <v>497</v>
      </c>
      <c r="B31" s="1749"/>
      <c r="C31" s="1749"/>
      <c r="D31" s="1749"/>
      <c r="E31" s="1749"/>
      <c r="F31" s="375"/>
      <c r="G31" s="386">
        <f>SUM(G8:G28)</f>
        <v>19439546</v>
      </c>
      <c r="H31" s="386">
        <f>SUM(H8:H29)</f>
        <v>2074878.6499999997</v>
      </c>
      <c r="I31" s="386">
        <f>SUM(I8:I28)</f>
        <v>1474899.36</v>
      </c>
      <c r="J31" s="386">
        <f>SUM(J8:J28)</f>
        <v>2369483.0699999998</v>
      </c>
      <c r="K31" s="968">
        <f>SUM(K8:K28)</f>
        <v>18544962.289999999</v>
      </c>
      <c r="L31" s="387">
        <f t="shared" ref="L31:O31" si="2">SUM(L8:L28)</f>
        <v>0</v>
      </c>
      <c r="M31" s="387">
        <f t="shared" si="2"/>
        <v>0</v>
      </c>
      <c r="N31" s="968">
        <f t="shared" si="2"/>
        <v>3315695.7099999995</v>
      </c>
      <c r="O31" s="968">
        <f t="shared" si="2"/>
        <v>15229266.58</v>
      </c>
      <c r="P31" s="386"/>
      <c r="Q31" s="433"/>
      <c r="R31" s="434"/>
    </row>
    <row r="32" spans="1:20" s="1025" customFormat="1" ht="13.5" customHeight="1" thickTop="1">
      <c r="A32" s="1166"/>
      <c r="B32" s="1745"/>
      <c r="C32" s="1745"/>
      <c r="D32" s="1165"/>
      <c r="E32" s="1167"/>
      <c r="F32" s="375"/>
      <c r="G32" s="379"/>
      <c r="H32" s="379"/>
      <c r="I32" s="379"/>
      <c r="J32" s="379"/>
      <c r="K32" s="385"/>
      <c r="L32" s="220"/>
      <c r="N32" s="220"/>
      <c r="O32" s="220"/>
      <c r="R32" s="392"/>
    </row>
    <row r="33" spans="1:18" s="1025" customFormat="1" ht="13.5" customHeight="1">
      <c r="A33" s="430" t="s">
        <v>1678</v>
      </c>
      <c r="B33" s="429"/>
      <c r="C33" s="429"/>
      <c r="D33" s="429"/>
      <c r="E33" s="428" t="s">
        <v>1679</v>
      </c>
      <c r="F33" s="421" t="s">
        <v>1680</v>
      </c>
      <c r="G33" s="422">
        <v>2190279</v>
      </c>
      <c r="H33" s="422"/>
      <c r="I33" s="422">
        <v>0</v>
      </c>
      <c r="J33" s="422">
        <v>1239686.4099999999</v>
      </c>
      <c r="K33" s="969">
        <f>+G33-J33</f>
        <v>950592.59000000008</v>
      </c>
      <c r="L33" s="423"/>
      <c r="M33" s="424"/>
      <c r="N33" s="423">
        <v>950592.59</v>
      </c>
      <c r="O33" s="423">
        <f>K33+M33-N33</f>
        <v>0</v>
      </c>
      <c r="P33" s="412"/>
      <c r="Q33" s="424"/>
      <c r="R33" s="427"/>
    </row>
    <row r="34" spans="1:18" s="1025" customFormat="1" ht="13.5" customHeight="1">
      <c r="A34" s="1166"/>
      <c r="B34" s="1165"/>
      <c r="C34" s="1165"/>
      <c r="D34" s="1165"/>
      <c r="E34" s="1167"/>
      <c r="F34" s="375"/>
      <c r="G34" s="379"/>
      <c r="H34" s="379"/>
      <c r="I34" s="379"/>
      <c r="J34" s="379"/>
      <c r="K34" s="385"/>
      <c r="L34" s="220"/>
      <c r="N34" s="220"/>
      <c r="O34" s="220"/>
      <c r="R34" s="392"/>
    </row>
    <row r="35" spans="1:18" s="1025" customFormat="1">
      <c r="A35" s="1746"/>
      <c r="B35" s="1747"/>
      <c r="C35" s="1165"/>
      <c r="D35" s="1165"/>
      <c r="E35" s="375"/>
      <c r="F35" s="375"/>
      <c r="G35" s="379"/>
      <c r="H35" s="379"/>
      <c r="I35" s="379"/>
      <c r="J35" s="379"/>
      <c r="K35" s="385"/>
      <c r="L35" s="220"/>
      <c r="N35" s="220"/>
      <c r="O35" s="220"/>
      <c r="R35" s="392"/>
    </row>
    <row r="36" spans="1:18" s="1025" customFormat="1" ht="13.5" thickBot="1">
      <c r="A36" s="1748" t="s">
        <v>361</v>
      </c>
      <c r="B36" s="1749"/>
      <c r="C36" s="1749"/>
      <c r="D36" s="1749"/>
      <c r="E36" s="1749"/>
      <c r="F36" s="371"/>
      <c r="G36" s="386">
        <f>G31</f>
        <v>19439546</v>
      </c>
      <c r="H36" s="386">
        <f>H31</f>
        <v>2074878.6499999997</v>
      </c>
      <c r="I36" s="386">
        <f>SUM(I31:I35)</f>
        <v>1474899.36</v>
      </c>
      <c r="J36" s="386">
        <f>SUM(J31:J35)</f>
        <v>3609169.4799999995</v>
      </c>
      <c r="K36" s="968">
        <f>SUM(K31:K35)</f>
        <v>19495554.879999999</v>
      </c>
      <c r="L36" s="387">
        <f t="shared" ref="L36:O36" si="3">SUM(L31:L35)</f>
        <v>0</v>
      </c>
      <c r="M36" s="387">
        <f t="shared" si="3"/>
        <v>0</v>
      </c>
      <c r="N36" s="968">
        <f t="shared" si="3"/>
        <v>4266288.3</v>
      </c>
      <c r="O36" s="968">
        <f t="shared" si="3"/>
        <v>15229266.58</v>
      </c>
      <c r="P36" s="386"/>
      <c r="Q36" s="433"/>
      <c r="R36" s="434"/>
    </row>
    <row r="37" spans="1:18" s="1025" customFormat="1" ht="14.25" thickTop="1" thickBot="1">
      <c r="A37" s="431"/>
      <c r="B37" s="432"/>
      <c r="C37" s="432"/>
      <c r="D37" s="432"/>
      <c r="E37" s="432"/>
      <c r="F37" s="417"/>
      <c r="G37" s="418"/>
      <c r="H37" s="418"/>
      <c r="I37" s="418"/>
      <c r="J37" s="418"/>
      <c r="K37" s="970"/>
      <c r="L37" s="418"/>
      <c r="M37" s="418"/>
      <c r="N37" s="970"/>
      <c r="O37" s="970"/>
      <c r="P37" s="418"/>
      <c r="Q37" s="419"/>
      <c r="R37" s="420"/>
    </row>
    <row r="38" spans="1:18">
      <c r="A38" s="1744"/>
      <c r="B38" s="1744"/>
      <c r="C38" s="413"/>
      <c r="D38" s="413"/>
      <c r="E38" s="1164"/>
      <c r="F38" s="1164"/>
      <c r="G38" s="414"/>
      <c r="H38" s="414"/>
      <c r="I38" s="414"/>
      <c r="J38" s="414"/>
      <c r="K38" s="971"/>
    </row>
    <row r="40" spans="1:18">
      <c r="G40" s="209" t="s">
        <v>36</v>
      </c>
      <c r="J40" s="209" t="s">
        <v>36</v>
      </c>
    </row>
    <row r="47" spans="1:18" ht="15">
      <c r="K47" s="368"/>
    </row>
  </sheetData>
  <mergeCells count="9">
    <mergeCell ref="A5:C5"/>
    <mergeCell ref="A1:R1"/>
    <mergeCell ref="A2:R2"/>
    <mergeCell ref="A3:R3"/>
    <mergeCell ref="A38:B38"/>
    <mergeCell ref="B32:C32"/>
    <mergeCell ref="A35:B35"/>
    <mergeCell ref="A31:E31"/>
    <mergeCell ref="A36:E36"/>
  </mergeCells>
  <phoneticPr fontId="0" type="noConversion"/>
  <printOptions horizontalCentered="1"/>
  <pageMargins left="0.6692913385826772" right="0.39370078740157483" top="0.98425196850393704" bottom="0.98425196850393704" header="0.51181102362204722" footer="0.51181102362204722"/>
  <pageSetup scale="68" orientation="landscape" r:id="rId1"/>
  <headerFooter>
    <oddHeader>&amp;C FINANCIAL STATEMENTS: MUSINA LOCAL MUNICIPALITY</oddHeader>
    <oddFooter>&amp;RPage &amp;P</oddFooter>
  </headerFooter>
</worksheet>
</file>

<file path=xl/worksheets/sheet22.xml><?xml version="1.0" encoding="utf-8"?>
<worksheet xmlns="http://schemas.openxmlformats.org/spreadsheetml/2006/main" xmlns:r="http://schemas.openxmlformats.org/officeDocument/2006/relationships">
  <sheetPr>
    <tabColor rgb="FF66FF66"/>
    <pageSetUpPr fitToPage="1"/>
  </sheetPr>
  <dimension ref="A1:AB4201"/>
  <sheetViews>
    <sheetView view="pageBreakPreview" zoomScaleNormal="98" zoomScaleSheetLayoutView="100" workbookViewId="0">
      <selection activeCell="G10" sqref="G10"/>
    </sheetView>
  </sheetViews>
  <sheetFormatPr defaultRowHeight="12.75"/>
  <cols>
    <col min="1" max="1" width="19.28515625" style="313" customWidth="1"/>
    <col min="2" max="2" width="13.7109375" style="334" hidden="1" customWidth="1"/>
    <col min="3" max="4" width="11.85546875" style="334" hidden="1" customWidth="1"/>
    <col min="5" max="5" width="10" style="334" hidden="1" customWidth="1"/>
    <col min="6" max="6" width="10.85546875" style="334" hidden="1" customWidth="1"/>
    <col min="7" max="7" width="15" style="334" bestFit="1" customWidth="1"/>
    <col min="8" max="8" width="14.5703125" style="334" customWidth="1"/>
    <col min="9" max="9" width="12.140625" style="334" customWidth="1"/>
    <col min="10" max="10" width="12.7109375" style="312" customWidth="1"/>
    <col min="11" max="11" width="13.28515625" style="334" customWidth="1"/>
    <col min="12" max="12" width="15.140625" style="334" customWidth="1"/>
    <col min="13" max="13" width="2.28515625" style="312" customWidth="1"/>
    <col min="14" max="14" width="13.7109375" style="312" hidden="1" customWidth="1"/>
    <col min="15" max="16" width="14" style="312" hidden="1" customWidth="1"/>
    <col min="17" max="17" width="8.5703125" style="312" hidden="1" customWidth="1"/>
    <col min="18" max="18" width="14" style="334" bestFit="1" customWidth="1"/>
    <col min="19" max="19" width="0.85546875" style="312" customWidth="1"/>
    <col min="20" max="20" width="16.28515625" style="334" customWidth="1"/>
    <col min="21" max="21" width="14.28515625" style="334" customWidth="1"/>
    <col min="22" max="22" width="12.85546875" style="312" bestFit="1" customWidth="1"/>
    <col min="23" max="23" width="14.85546875" style="334" customWidth="1"/>
    <col min="24" max="24" width="2" style="312" customWidth="1"/>
    <col min="25" max="25" width="15" style="334" bestFit="1" customWidth="1"/>
    <col min="26" max="26" width="14.28515625" style="312" bestFit="1" customWidth="1"/>
    <col min="27" max="27" width="11.7109375" style="312" bestFit="1" customWidth="1"/>
    <col min="28" max="28" width="11.85546875" style="312" bestFit="1" customWidth="1"/>
    <col min="29" max="16384" width="9.140625" style="313"/>
  </cols>
  <sheetData>
    <row r="1" spans="1:27">
      <c r="A1" s="1751" t="s">
        <v>503</v>
      </c>
      <c r="B1" s="1751"/>
      <c r="C1" s="1751"/>
      <c r="D1" s="1751"/>
      <c r="E1" s="1751"/>
      <c r="F1" s="1751"/>
      <c r="G1" s="1751"/>
      <c r="H1" s="1751"/>
      <c r="I1" s="1751"/>
      <c r="J1" s="1751"/>
      <c r="K1" s="1751"/>
      <c r="L1" s="1751"/>
      <c r="M1" s="1751"/>
      <c r="N1" s="1751"/>
      <c r="O1" s="1751"/>
      <c r="P1" s="1751"/>
      <c r="Q1" s="1751"/>
      <c r="R1" s="1751"/>
      <c r="S1" s="1751"/>
      <c r="T1" s="1751"/>
      <c r="U1" s="1751"/>
      <c r="V1" s="1751"/>
      <c r="W1" s="1751"/>
      <c r="X1" s="1751"/>
      <c r="Y1" s="1751"/>
      <c r="Z1" s="1751"/>
    </row>
    <row r="2" spans="1:27">
      <c r="A2" s="1751" t="s">
        <v>504</v>
      </c>
      <c r="B2" s="1751"/>
      <c r="C2" s="1751"/>
      <c r="D2" s="1751"/>
      <c r="E2" s="1751"/>
      <c r="F2" s="1751"/>
      <c r="G2" s="1751"/>
      <c r="H2" s="1751"/>
      <c r="I2" s="1751"/>
      <c r="J2" s="1751"/>
      <c r="K2" s="1751"/>
      <c r="L2" s="1751"/>
      <c r="M2" s="1751"/>
      <c r="N2" s="1751"/>
      <c r="O2" s="1751"/>
      <c r="P2" s="1751"/>
      <c r="Q2" s="1751"/>
      <c r="R2" s="1751"/>
      <c r="S2" s="1751"/>
      <c r="T2" s="1751"/>
      <c r="U2" s="1751"/>
      <c r="V2" s="1751"/>
      <c r="W2" s="1751"/>
      <c r="X2" s="1751"/>
      <c r="Y2" s="1751"/>
      <c r="Z2" s="1751"/>
    </row>
    <row r="3" spans="1:27">
      <c r="A3" s="1751" t="s">
        <v>2101</v>
      </c>
      <c r="B3" s="1751"/>
      <c r="C3" s="1751"/>
      <c r="D3" s="1751"/>
      <c r="E3" s="1751"/>
      <c r="F3" s="1751"/>
      <c r="G3" s="1751"/>
      <c r="H3" s="1751"/>
      <c r="I3" s="1751"/>
      <c r="J3" s="1751"/>
      <c r="K3" s="1751"/>
      <c r="L3" s="1751"/>
      <c r="M3" s="1751"/>
      <c r="N3" s="1751"/>
      <c r="O3" s="1751"/>
      <c r="P3" s="1751"/>
      <c r="Q3" s="1751"/>
      <c r="R3" s="1751"/>
      <c r="S3" s="1751"/>
      <c r="T3" s="1751"/>
      <c r="U3" s="1751"/>
      <c r="V3" s="1751"/>
      <c r="W3" s="1751"/>
      <c r="X3" s="1751"/>
      <c r="Y3" s="1751"/>
      <c r="Z3" s="1751"/>
    </row>
    <row r="4" spans="1:27">
      <c r="A4" s="763"/>
      <c r="B4" s="322"/>
      <c r="C4" s="322"/>
      <c r="D4" s="322"/>
      <c r="E4" s="322"/>
      <c r="F4" s="322"/>
      <c r="G4" s="322"/>
      <c r="H4" s="322"/>
      <c r="I4" s="322"/>
      <c r="J4" s="323"/>
      <c r="K4" s="322"/>
      <c r="L4" s="322"/>
      <c r="M4" s="323"/>
      <c r="N4" s="323"/>
      <c r="O4" s="323"/>
      <c r="P4" s="323"/>
      <c r="Q4" s="323"/>
      <c r="R4" s="322"/>
      <c r="S4" s="323"/>
      <c r="T4" s="322"/>
      <c r="U4" s="322"/>
      <c r="V4" s="323"/>
      <c r="W4" s="322"/>
      <c r="X4" s="323"/>
      <c r="Y4" s="322"/>
      <c r="Z4" s="883"/>
    </row>
    <row r="5" spans="1:27" ht="14.25" customHeight="1">
      <c r="A5" s="770"/>
      <c r="B5" s="1752" t="s">
        <v>505</v>
      </c>
      <c r="C5" s="1753"/>
      <c r="D5" s="1753"/>
      <c r="E5" s="1753"/>
      <c r="F5" s="1753"/>
      <c r="G5" s="1753"/>
      <c r="H5" s="1753"/>
      <c r="I5" s="1753"/>
      <c r="J5" s="1753"/>
      <c r="K5" s="1753"/>
      <c r="L5" s="1754"/>
      <c r="M5" s="167"/>
      <c r="N5" s="1755" t="s">
        <v>506</v>
      </c>
      <c r="O5" s="1756"/>
      <c r="P5" s="1756"/>
      <c r="Q5" s="1756"/>
      <c r="R5" s="1756"/>
      <c r="S5" s="1756"/>
      <c r="T5" s="1756"/>
      <c r="U5" s="1756"/>
      <c r="V5" s="1756"/>
      <c r="W5" s="1757"/>
      <c r="X5" s="167"/>
      <c r="Y5" s="156"/>
      <c r="Z5" s="884"/>
      <c r="AA5" s="187"/>
    </row>
    <row r="6" spans="1:27" ht="38.25">
      <c r="A6" s="194"/>
      <c r="B6" s="139" t="s">
        <v>1908</v>
      </c>
      <c r="C6" s="139" t="s">
        <v>1191</v>
      </c>
      <c r="D6" s="139" t="s">
        <v>2031</v>
      </c>
      <c r="E6" s="139" t="s">
        <v>626</v>
      </c>
      <c r="F6" s="139" t="s">
        <v>357</v>
      </c>
      <c r="G6" s="139" t="s">
        <v>1909</v>
      </c>
      <c r="H6" s="139" t="s">
        <v>1191</v>
      </c>
      <c r="I6" s="139" t="s">
        <v>2031</v>
      </c>
      <c r="J6" s="168" t="s">
        <v>626</v>
      </c>
      <c r="K6" s="139" t="s">
        <v>357</v>
      </c>
      <c r="L6" s="139" t="s">
        <v>2105</v>
      </c>
      <c r="M6" s="168"/>
      <c r="N6" s="973" t="s">
        <v>1908</v>
      </c>
      <c r="O6" s="973" t="s">
        <v>627</v>
      </c>
      <c r="P6" s="973" t="s">
        <v>1151</v>
      </c>
      <c r="Q6" s="974" t="s">
        <v>628</v>
      </c>
      <c r="R6" s="199" t="s">
        <v>1909</v>
      </c>
      <c r="S6" s="187"/>
      <c r="T6" s="199" t="s">
        <v>627</v>
      </c>
      <c r="U6" s="199" t="s">
        <v>1151</v>
      </c>
      <c r="V6" s="974" t="s">
        <v>628</v>
      </c>
      <c r="W6" s="199" t="s">
        <v>2105</v>
      </c>
      <c r="X6" s="168"/>
      <c r="Y6" s="139" t="s">
        <v>1189</v>
      </c>
      <c r="Z6" s="168" t="s">
        <v>2100</v>
      </c>
      <c r="AA6" s="187"/>
    </row>
    <row r="7" spans="1:27">
      <c r="A7" s="195"/>
      <c r="B7" s="156" t="s">
        <v>1314</v>
      </c>
      <c r="C7" s="156" t="s">
        <v>1314</v>
      </c>
      <c r="D7" s="156"/>
      <c r="E7" s="156" t="s">
        <v>1314</v>
      </c>
      <c r="F7" s="156" t="s">
        <v>1314</v>
      </c>
      <c r="G7" s="156" t="s">
        <v>1314</v>
      </c>
      <c r="H7" s="156"/>
      <c r="I7" s="156"/>
      <c r="J7" s="167"/>
      <c r="K7" s="156"/>
      <c r="L7" s="156"/>
      <c r="M7" s="167"/>
      <c r="N7" s="167" t="s">
        <v>1314</v>
      </c>
      <c r="O7" s="167" t="s">
        <v>1314</v>
      </c>
      <c r="P7" s="167"/>
      <c r="Q7" s="187" t="s">
        <v>1314</v>
      </c>
      <c r="R7" s="156" t="s">
        <v>1314</v>
      </c>
      <c r="S7" s="167"/>
      <c r="T7" s="156"/>
      <c r="U7" s="156"/>
      <c r="V7" s="167"/>
      <c r="W7" s="156"/>
      <c r="X7" s="167"/>
      <c r="Y7" s="156" t="s">
        <v>1314</v>
      </c>
      <c r="Z7" s="975" t="s">
        <v>1314</v>
      </c>
      <c r="AA7" s="167"/>
    </row>
    <row r="8" spans="1:27">
      <c r="A8" s="194" t="s">
        <v>511</v>
      </c>
      <c r="B8" s="149">
        <f>SUM(B9:B19)</f>
        <v>26358572.659999996</v>
      </c>
      <c r="C8" s="149">
        <f>SUM(C9:C19)</f>
        <v>2175147.5999999996</v>
      </c>
      <c r="D8" s="149"/>
      <c r="E8" s="149">
        <f>SUM(E9:E19)</f>
        <v>0</v>
      </c>
      <c r="F8" s="149">
        <f>SUM(F9:F19)</f>
        <v>0</v>
      </c>
      <c r="G8" s="149">
        <f>SUM(G9:G19)</f>
        <v>28533720.259999998</v>
      </c>
      <c r="H8" s="149">
        <f t="shared" ref="H8:L8" si="0">SUM(H9:H19)</f>
        <v>2734325</v>
      </c>
      <c r="I8" s="149">
        <f t="shared" si="0"/>
        <v>-70175.66</v>
      </c>
      <c r="J8" s="771">
        <f t="shared" si="0"/>
        <v>0</v>
      </c>
      <c r="K8" s="149">
        <f t="shared" si="0"/>
        <v>0</v>
      </c>
      <c r="L8" s="1621">
        <f t="shared" si="0"/>
        <v>31197869.599999998</v>
      </c>
      <c r="M8" s="771"/>
      <c r="N8" s="771">
        <f>SUM(N9:N19)</f>
        <v>11836241</v>
      </c>
      <c r="O8" s="771">
        <f>SUM(O9:O19)</f>
        <v>1317335.2899999998</v>
      </c>
      <c r="P8" s="771">
        <f>SUM(P9:P18)</f>
        <v>-119211</v>
      </c>
      <c r="Q8" s="771">
        <f>SUM(Q9:Q19)</f>
        <v>0</v>
      </c>
      <c r="R8" s="149">
        <f>SUM(R9:R19)</f>
        <v>13034361.289999999</v>
      </c>
      <c r="S8" s="771"/>
      <c r="T8" s="149">
        <f t="shared" ref="T8:W8" si="1">SUM(T9:T19)</f>
        <v>1546738.63</v>
      </c>
      <c r="U8" s="149">
        <f t="shared" si="1"/>
        <v>139.56</v>
      </c>
      <c r="V8" s="771">
        <f t="shared" si="1"/>
        <v>0</v>
      </c>
      <c r="W8" s="149">
        <f t="shared" si="1"/>
        <v>14581239.48</v>
      </c>
      <c r="X8" s="771"/>
      <c r="Y8" s="149">
        <f>SUM(Y9:Y19)</f>
        <v>16616630.119999999</v>
      </c>
      <c r="Z8" s="976">
        <f>SUM(Z9:Z19)</f>
        <v>0</v>
      </c>
      <c r="AA8" s="771"/>
    </row>
    <row r="9" spans="1:27" ht="25.5">
      <c r="A9" s="1641" t="s">
        <v>512</v>
      </c>
      <c r="B9" s="1642">
        <v>11585393</v>
      </c>
      <c r="C9" s="1642">
        <f>531500+20214.95</f>
        <v>551714.94999999995</v>
      </c>
      <c r="D9" s="1642"/>
      <c r="E9" s="1642">
        <v>0</v>
      </c>
      <c r="F9" s="1642">
        <v>0</v>
      </c>
      <c r="G9" s="1642">
        <f>+B9+C9+E9-F9</f>
        <v>12137107.949999999</v>
      </c>
      <c r="H9" s="1642">
        <v>0</v>
      </c>
      <c r="I9" s="1642">
        <v>0</v>
      </c>
      <c r="J9" s="1643"/>
      <c r="K9" s="1644"/>
      <c r="L9" s="1642">
        <f t="shared" ref="L9:L19" si="2">G9+H9+I9+J9-K9</f>
        <v>12137107.949999999</v>
      </c>
      <c r="M9" s="458"/>
      <c r="N9" s="977">
        <v>8078566</v>
      </c>
      <c r="O9" s="977">
        <v>641165.01</v>
      </c>
      <c r="P9" s="977">
        <v>4849</v>
      </c>
      <c r="Q9" s="979">
        <v>0</v>
      </c>
      <c r="R9" s="543">
        <f>+N9+O9-Q9+P9</f>
        <v>8724580.0099999998</v>
      </c>
      <c r="S9" s="458"/>
      <c r="T9" s="543">
        <v>694625.05</v>
      </c>
      <c r="U9" s="543"/>
      <c r="V9" s="977"/>
      <c r="W9" s="543">
        <f>R9+T9+U9+-V9</f>
        <v>9419205.0600000005</v>
      </c>
      <c r="X9" s="978"/>
      <c r="Y9" s="543">
        <f>+L9-W9</f>
        <v>2717902.8899999987</v>
      </c>
      <c r="Z9" s="980">
        <v>0</v>
      </c>
      <c r="AA9" s="458"/>
    </row>
    <row r="10" spans="1:27" ht="25.5">
      <c r="A10" s="764" t="s">
        <v>513</v>
      </c>
      <c r="B10" s="215">
        <v>42306.26</v>
      </c>
      <c r="C10" s="215">
        <v>0</v>
      </c>
      <c r="D10" s="215"/>
      <c r="E10" s="215">
        <v>0</v>
      </c>
      <c r="F10" s="215">
        <v>0</v>
      </c>
      <c r="G10" s="215">
        <f t="shared" ref="G10:G19" si="3">+B10+C10+E10-F10</f>
        <v>42306.26</v>
      </c>
      <c r="H10" s="215"/>
      <c r="I10" s="215"/>
      <c r="J10" s="981"/>
      <c r="K10" s="766"/>
      <c r="L10" s="215">
        <f t="shared" si="2"/>
        <v>42306.26</v>
      </c>
      <c r="M10" s="458"/>
      <c r="N10" s="981">
        <v>36152</v>
      </c>
      <c r="O10" s="981">
        <v>1691.45</v>
      </c>
      <c r="P10" s="981">
        <v>-24577</v>
      </c>
      <c r="Q10" s="983">
        <v>0</v>
      </c>
      <c r="R10" s="215">
        <f>+N10+O10-Q10+P10-4</f>
        <v>13262.449999999997</v>
      </c>
      <c r="S10" s="458"/>
      <c r="T10" s="215">
        <v>1692.01</v>
      </c>
      <c r="U10" s="215"/>
      <c r="V10" s="981"/>
      <c r="W10" s="215">
        <f t="shared" ref="W10:W34" si="4">R10+T10+U10+-V10</f>
        <v>14954.459999999997</v>
      </c>
      <c r="X10" s="982"/>
      <c r="Y10" s="215">
        <f t="shared" ref="Y10:Y18" si="5">+L10-W10</f>
        <v>27351.800000000003</v>
      </c>
      <c r="Z10" s="984">
        <v>0</v>
      </c>
      <c r="AA10" s="458"/>
    </row>
    <row r="11" spans="1:27" ht="38.25">
      <c r="A11" s="764" t="s">
        <v>514</v>
      </c>
      <c r="B11" s="215">
        <v>0</v>
      </c>
      <c r="C11" s="215">
        <v>0</v>
      </c>
      <c r="D11" s="215"/>
      <c r="E11" s="215">
        <v>0</v>
      </c>
      <c r="F11" s="215">
        <v>0</v>
      </c>
      <c r="G11" s="215">
        <f t="shared" si="3"/>
        <v>0</v>
      </c>
      <c r="H11" s="215"/>
      <c r="I11" s="215"/>
      <c r="J11" s="981"/>
      <c r="K11" s="766"/>
      <c r="L11" s="215">
        <f t="shared" si="2"/>
        <v>0</v>
      </c>
      <c r="M11" s="458"/>
      <c r="N11" s="981"/>
      <c r="O11" s="981">
        <v>0</v>
      </c>
      <c r="P11" s="981"/>
      <c r="Q11" s="983">
        <v>0</v>
      </c>
      <c r="R11" s="215">
        <f t="shared" ref="R11:R19" si="6">+N11+O11-Q11+P11</f>
        <v>0</v>
      </c>
      <c r="S11" s="458"/>
      <c r="T11" s="215"/>
      <c r="U11" s="215"/>
      <c r="V11" s="981"/>
      <c r="W11" s="215">
        <f t="shared" si="4"/>
        <v>0</v>
      </c>
      <c r="X11" s="982"/>
      <c r="Y11" s="215">
        <f t="shared" si="5"/>
        <v>0</v>
      </c>
      <c r="Z11" s="984">
        <v>0</v>
      </c>
      <c r="AA11" s="458"/>
    </row>
    <row r="12" spans="1:27" ht="25.5">
      <c r="A12" s="1641" t="s">
        <v>515</v>
      </c>
      <c r="B12" s="1645">
        <v>13634606</v>
      </c>
      <c r="C12" s="1645">
        <v>1311493.6499999999</v>
      </c>
      <c r="D12" s="1645"/>
      <c r="E12" s="1645">
        <v>0</v>
      </c>
      <c r="F12" s="1645">
        <v>0</v>
      </c>
      <c r="G12" s="1645">
        <f t="shared" si="3"/>
        <v>14946099.65</v>
      </c>
      <c r="H12" s="1645">
        <f>2597188+137137</f>
        <v>2734325</v>
      </c>
      <c r="I12" s="1645">
        <v>-15588.97</v>
      </c>
      <c r="J12" s="1646"/>
      <c r="K12" s="1647"/>
      <c r="L12" s="1645">
        <f t="shared" si="2"/>
        <v>17664835.68</v>
      </c>
      <c r="M12" s="458"/>
      <c r="N12" s="981">
        <v>3382952</v>
      </c>
      <c r="O12" s="981">
        <v>543748.84</v>
      </c>
      <c r="P12" s="981">
        <v>-120048</v>
      </c>
      <c r="Q12" s="983">
        <v>0</v>
      </c>
      <c r="R12" s="215">
        <f t="shared" si="6"/>
        <v>3806652.84</v>
      </c>
      <c r="S12" s="985"/>
      <c r="T12" s="1369">
        <f>595356.11+89765.84</f>
        <v>685121.95</v>
      </c>
      <c r="U12" s="1369">
        <v>139.56</v>
      </c>
      <c r="V12" s="986"/>
      <c r="W12" s="215">
        <f t="shared" si="4"/>
        <v>4491914.3499999996</v>
      </c>
      <c r="X12" s="982"/>
      <c r="Y12" s="215">
        <f t="shared" si="5"/>
        <v>13172921.33</v>
      </c>
      <c r="Z12" s="984">
        <v>0</v>
      </c>
      <c r="AA12" s="458"/>
    </row>
    <row r="13" spans="1:27" ht="38.25">
      <c r="A13" s="764" t="s">
        <v>516</v>
      </c>
      <c r="B13" s="215">
        <v>300951</v>
      </c>
      <c r="C13" s="215">
        <v>301989</v>
      </c>
      <c r="D13" s="215"/>
      <c r="E13" s="215">
        <v>0</v>
      </c>
      <c r="F13" s="215">
        <v>0</v>
      </c>
      <c r="G13" s="215">
        <f t="shared" si="3"/>
        <v>602940</v>
      </c>
      <c r="H13" s="215"/>
      <c r="I13" s="215">
        <v>-54586.69</v>
      </c>
      <c r="J13" s="981"/>
      <c r="K13" s="766"/>
      <c r="L13" s="215">
        <f t="shared" si="2"/>
        <v>548353.31000000006</v>
      </c>
      <c r="M13" s="458"/>
      <c r="N13" s="981">
        <v>15785</v>
      </c>
      <c r="O13" s="981">
        <v>12036.82</v>
      </c>
      <c r="P13" s="981">
        <v>-3139</v>
      </c>
      <c r="Q13" s="983">
        <v>0</v>
      </c>
      <c r="R13" s="215">
        <f t="shared" si="6"/>
        <v>24682.82</v>
      </c>
      <c r="S13" s="458"/>
      <c r="T13" s="215">
        <v>24117.47</v>
      </c>
      <c r="U13" s="215"/>
      <c r="V13" s="981"/>
      <c r="W13" s="215">
        <f t="shared" si="4"/>
        <v>48800.29</v>
      </c>
      <c r="X13" s="982"/>
      <c r="Y13" s="215">
        <f t="shared" si="5"/>
        <v>499553.02000000008</v>
      </c>
      <c r="Z13" s="984">
        <v>0</v>
      </c>
      <c r="AA13" s="458"/>
    </row>
    <row r="14" spans="1:27">
      <c r="A14" s="764" t="s">
        <v>517</v>
      </c>
      <c r="B14" s="215">
        <v>0</v>
      </c>
      <c r="C14" s="215">
        <v>0</v>
      </c>
      <c r="D14" s="215"/>
      <c r="E14" s="215">
        <v>0</v>
      </c>
      <c r="F14" s="215">
        <v>0</v>
      </c>
      <c r="G14" s="215">
        <f t="shared" si="3"/>
        <v>0</v>
      </c>
      <c r="H14" s="215"/>
      <c r="I14" s="215"/>
      <c r="J14" s="981"/>
      <c r="K14" s="766"/>
      <c r="L14" s="215">
        <f t="shared" si="2"/>
        <v>0</v>
      </c>
      <c r="M14" s="458"/>
      <c r="N14" s="981"/>
      <c r="O14" s="981">
        <v>0</v>
      </c>
      <c r="P14" s="981"/>
      <c r="Q14" s="983">
        <v>0</v>
      </c>
      <c r="R14" s="215">
        <f t="shared" si="6"/>
        <v>0</v>
      </c>
      <c r="S14" s="458"/>
      <c r="T14" s="215"/>
      <c r="U14" s="215"/>
      <c r="V14" s="981"/>
      <c r="W14" s="215">
        <f t="shared" si="4"/>
        <v>0</v>
      </c>
      <c r="X14" s="982"/>
      <c r="Y14" s="215">
        <f t="shared" si="5"/>
        <v>0</v>
      </c>
      <c r="Z14" s="984">
        <v>0</v>
      </c>
      <c r="AA14" s="458"/>
    </row>
    <row r="15" spans="1:27">
      <c r="A15" s="1641" t="s">
        <v>518</v>
      </c>
      <c r="B15" s="1645">
        <v>0</v>
      </c>
      <c r="C15" s="1645">
        <v>0</v>
      </c>
      <c r="D15" s="1645"/>
      <c r="E15" s="1645">
        <v>0</v>
      </c>
      <c r="F15" s="1645">
        <v>0</v>
      </c>
      <c r="G15" s="1645">
        <f t="shared" si="3"/>
        <v>0</v>
      </c>
      <c r="H15" s="1645"/>
      <c r="I15" s="1645"/>
      <c r="J15" s="1646"/>
      <c r="K15" s="1647"/>
      <c r="L15" s="1645">
        <f t="shared" si="2"/>
        <v>0</v>
      </c>
      <c r="M15" s="458"/>
      <c r="N15" s="981"/>
      <c r="O15" s="981">
        <v>0</v>
      </c>
      <c r="P15" s="981"/>
      <c r="Q15" s="983">
        <v>0</v>
      </c>
      <c r="R15" s="215">
        <f t="shared" si="6"/>
        <v>0</v>
      </c>
      <c r="S15" s="458"/>
      <c r="T15" s="215"/>
      <c r="U15" s="215"/>
      <c r="V15" s="981"/>
      <c r="W15" s="215">
        <f t="shared" si="4"/>
        <v>0</v>
      </c>
      <c r="X15" s="982"/>
      <c r="Y15" s="215">
        <f t="shared" si="5"/>
        <v>0</v>
      </c>
      <c r="Z15" s="984">
        <v>0</v>
      </c>
      <c r="AA15" s="458"/>
    </row>
    <row r="16" spans="1:27">
      <c r="A16" s="764" t="s">
        <v>519</v>
      </c>
      <c r="B16" s="215">
        <v>0</v>
      </c>
      <c r="C16" s="215">
        <v>0</v>
      </c>
      <c r="D16" s="215"/>
      <c r="E16" s="215">
        <v>0</v>
      </c>
      <c r="F16" s="215">
        <v>0</v>
      </c>
      <c r="G16" s="215">
        <f t="shared" si="3"/>
        <v>0</v>
      </c>
      <c r="H16" s="215"/>
      <c r="I16" s="215"/>
      <c r="J16" s="981"/>
      <c r="K16" s="766"/>
      <c r="L16" s="215">
        <f t="shared" si="2"/>
        <v>0</v>
      </c>
      <c r="M16" s="458"/>
      <c r="N16" s="981"/>
      <c r="O16" s="981">
        <v>0</v>
      </c>
      <c r="P16" s="981"/>
      <c r="Q16" s="983">
        <v>0</v>
      </c>
      <c r="R16" s="215">
        <f t="shared" si="6"/>
        <v>0</v>
      </c>
      <c r="S16" s="458"/>
      <c r="T16" s="215"/>
      <c r="U16" s="215"/>
      <c r="V16" s="981"/>
      <c r="W16" s="215">
        <f t="shared" si="4"/>
        <v>0</v>
      </c>
      <c r="X16" s="982"/>
      <c r="Y16" s="215">
        <f t="shared" si="5"/>
        <v>0</v>
      </c>
      <c r="Z16" s="984">
        <v>0</v>
      </c>
      <c r="AA16" s="458"/>
    </row>
    <row r="17" spans="1:27">
      <c r="A17" s="764" t="s">
        <v>635</v>
      </c>
      <c r="B17" s="215">
        <v>355692.4</v>
      </c>
      <c r="C17" s="215">
        <v>0</v>
      </c>
      <c r="D17" s="215"/>
      <c r="E17" s="215"/>
      <c r="F17" s="215"/>
      <c r="G17" s="215">
        <f t="shared" si="3"/>
        <v>355692.4</v>
      </c>
      <c r="H17" s="215"/>
      <c r="I17" s="215"/>
      <c r="J17" s="981"/>
      <c r="K17" s="766"/>
      <c r="L17" s="215">
        <f t="shared" si="2"/>
        <v>355692.4</v>
      </c>
      <c r="M17" s="458"/>
      <c r="N17" s="981">
        <v>118563</v>
      </c>
      <c r="O17" s="981">
        <v>14227.66</v>
      </c>
      <c r="P17" s="981">
        <v>23720</v>
      </c>
      <c r="Q17" s="983"/>
      <c r="R17" s="215">
        <f t="shared" si="6"/>
        <v>156510.66</v>
      </c>
      <c r="S17" s="458"/>
      <c r="T17" s="215">
        <v>14227.66</v>
      </c>
      <c r="U17" s="215"/>
      <c r="V17" s="981"/>
      <c r="W17" s="215">
        <f t="shared" si="4"/>
        <v>170738.32</v>
      </c>
      <c r="X17" s="982"/>
      <c r="Y17" s="215">
        <f t="shared" si="5"/>
        <v>184954.08000000002</v>
      </c>
      <c r="Z17" s="984">
        <v>0</v>
      </c>
      <c r="AA17" s="458"/>
    </row>
    <row r="18" spans="1:27">
      <c r="A18" s="764" t="s">
        <v>636</v>
      </c>
      <c r="B18" s="215">
        <v>439624</v>
      </c>
      <c r="C18" s="215">
        <v>9950</v>
      </c>
      <c r="D18" s="215"/>
      <c r="E18" s="215"/>
      <c r="F18" s="215"/>
      <c r="G18" s="215">
        <f t="shared" si="3"/>
        <v>449574</v>
      </c>
      <c r="H18" s="215"/>
      <c r="I18" s="215"/>
      <c r="J18" s="981"/>
      <c r="K18" s="766"/>
      <c r="L18" s="215">
        <f t="shared" si="2"/>
        <v>449574</v>
      </c>
      <c r="M18" s="458"/>
      <c r="N18" s="981">
        <v>204223</v>
      </c>
      <c r="O18" s="981">
        <v>104465.51</v>
      </c>
      <c r="P18" s="981">
        <v>-16</v>
      </c>
      <c r="Q18" s="983"/>
      <c r="R18" s="215">
        <f t="shared" si="6"/>
        <v>308672.51</v>
      </c>
      <c r="S18" s="458"/>
      <c r="T18" s="215">
        <f>103557.03+23397.99-0.53</f>
        <v>126954.49</v>
      </c>
      <c r="U18" s="215"/>
      <c r="V18" s="981"/>
      <c r="W18" s="215">
        <f t="shared" si="4"/>
        <v>435627</v>
      </c>
      <c r="X18" s="982"/>
      <c r="Y18" s="215">
        <f t="shared" si="5"/>
        <v>13947</v>
      </c>
      <c r="Z18" s="984">
        <v>0</v>
      </c>
      <c r="AA18" s="458"/>
    </row>
    <row r="19" spans="1:27" ht="25.5">
      <c r="A19" s="764" t="s">
        <v>520</v>
      </c>
      <c r="B19" s="545">
        <v>0</v>
      </c>
      <c r="C19" s="545">
        <v>0</v>
      </c>
      <c r="D19" s="545"/>
      <c r="E19" s="545">
        <v>0</v>
      </c>
      <c r="F19" s="545">
        <v>0</v>
      </c>
      <c r="G19" s="545">
        <f t="shared" si="3"/>
        <v>0</v>
      </c>
      <c r="H19" s="545"/>
      <c r="I19" s="545"/>
      <c r="J19" s="987"/>
      <c r="K19" s="768"/>
      <c r="L19" s="545">
        <f t="shared" si="2"/>
        <v>0</v>
      </c>
      <c r="M19" s="458"/>
      <c r="N19" s="987"/>
      <c r="O19" s="987">
        <v>0</v>
      </c>
      <c r="P19" s="987"/>
      <c r="Q19" s="989">
        <v>0</v>
      </c>
      <c r="R19" s="545">
        <f t="shared" si="6"/>
        <v>0</v>
      </c>
      <c r="S19" s="458"/>
      <c r="T19" s="545"/>
      <c r="U19" s="545"/>
      <c r="V19" s="987"/>
      <c r="W19" s="545">
        <f t="shared" si="4"/>
        <v>0</v>
      </c>
      <c r="X19" s="988"/>
      <c r="Y19" s="545">
        <f t="shared" ref="Y19" si="7">+L19-W19</f>
        <v>0</v>
      </c>
      <c r="Z19" s="990">
        <v>0</v>
      </c>
      <c r="AA19" s="458"/>
    </row>
    <row r="20" spans="1:27" ht="12.75" customHeight="1">
      <c r="A20" s="764"/>
      <c r="B20" s="513"/>
      <c r="C20" s="513"/>
      <c r="D20" s="513"/>
      <c r="E20" s="513"/>
      <c r="F20" s="513"/>
      <c r="G20" s="513"/>
      <c r="H20" s="513"/>
      <c r="I20" s="513"/>
      <c r="J20" s="458"/>
      <c r="K20" s="513"/>
      <c r="L20" s="513"/>
      <c r="M20" s="458"/>
      <c r="N20" s="458"/>
      <c r="O20" s="458"/>
      <c r="P20" s="458"/>
      <c r="Q20" s="241"/>
      <c r="R20" s="513"/>
      <c r="S20" s="458"/>
      <c r="T20" s="513"/>
      <c r="U20" s="513"/>
      <c r="V20" s="458"/>
      <c r="W20" s="513">
        <f t="shared" si="4"/>
        <v>0</v>
      </c>
      <c r="X20" s="458"/>
      <c r="Y20" s="513"/>
      <c r="Z20" s="984"/>
      <c r="AA20" s="458"/>
    </row>
    <row r="21" spans="1:27" ht="25.5">
      <c r="A21" s="194" t="s">
        <v>521</v>
      </c>
      <c r="B21" s="149">
        <f>SUM(B22:B24)</f>
        <v>77263592.280000001</v>
      </c>
      <c r="C21" s="149">
        <f>SUM(C22:C24)</f>
        <v>9463953.1300000008</v>
      </c>
      <c r="D21" s="149"/>
      <c r="E21" s="149">
        <f>SUM(E22:E24)</f>
        <v>0</v>
      </c>
      <c r="F21" s="149">
        <f>SUM(F22:F24)</f>
        <v>-4626370</v>
      </c>
      <c r="G21" s="149">
        <f>SUM(G22:G24)</f>
        <v>82101175.409999996</v>
      </c>
      <c r="H21" s="149">
        <f t="shared" ref="H21:L21" si="8">SUM(H22:H24)</f>
        <v>5283509.5999999996</v>
      </c>
      <c r="I21" s="149">
        <f t="shared" si="8"/>
        <v>-910950.22</v>
      </c>
      <c r="J21" s="771">
        <f t="shared" si="8"/>
        <v>5935765</v>
      </c>
      <c r="K21" s="149">
        <f t="shared" si="8"/>
        <v>23630</v>
      </c>
      <c r="L21" s="1621">
        <f t="shared" si="8"/>
        <v>92385869.789999992</v>
      </c>
      <c r="M21" s="771"/>
      <c r="N21" s="771">
        <f>SUM(N22:N24)</f>
        <v>5130221</v>
      </c>
      <c r="O21" s="771">
        <f>SUM(O22:O24)</f>
        <v>1099236.95</v>
      </c>
      <c r="P21" s="771">
        <f>SUM(P22:P24)</f>
        <v>-823522</v>
      </c>
      <c r="Q21" s="771">
        <f>SUM(Q22:Q24)</f>
        <v>0</v>
      </c>
      <c r="R21" s="149">
        <f>SUM(R22:R24)</f>
        <v>5405935.9499999993</v>
      </c>
      <c r="S21" s="771"/>
      <c r="T21" s="149">
        <f t="shared" ref="T21:W21" si="9">SUM(T22:T24)</f>
        <v>1394073.9500000002</v>
      </c>
      <c r="U21" s="149">
        <f t="shared" si="9"/>
        <v>0</v>
      </c>
      <c r="V21" s="771">
        <f t="shared" si="9"/>
        <v>0</v>
      </c>
      <c r="W21" s="149">
        <f t="shared" si="9"/>
        <v>6800009.8999999994</v>
      </c>
      <c r="X21" s="771"/>
      <c r="Y21" s="149">
        <f>SUM(Y22:Y24)</f>
        <v>85585859.890000001</v>
      </c>
      <c r="Z21" s="976">
        <f>SUM(Z22:Z24)</f>
        <v>0</v>
      </c>
      <c r="AA21" s="771"/>
    </row>
    <row r="22" spans="1:27">
      <c r="A22" s="764" t="s">
        <v>639</v>
      </c>
      <c r="B22" s="543">
        <v>32033511</v>
      </c>
      <c r="C22" s="543">
        <f>1441055.52+368918.3+411515.87</f>
        <v>2221489.69</v>
      </c>
      <c r="D22" s="543"/>
      <c r="E22" s="543">
        <v>0</v>
      </c>
      <c r="F22" s="543">
        <v>0</v>
      </c>
      <c r="G22" s="543">
        <f>+B22+C22+E22-F22</f>
        <v>34255000.689999998</v>
      </c>
      <c r="H22" s="543">
        <f>1556716.48+301227.52-1556716.48</f>
        <v>301227.52000000002</v>
      </c>
      <c r="I22" s="543">
        <f>-211414-351610.71-132202.51</f>
        <v>-695227.22</v>
      </c>
      <c r="J22" s="977">
        <v>1556716.48</v>
      </c>
      <c r="K22" s="543"/>
      <c r="L22" s="543">
        <f>G22+H22+I22+J22-K22</f>
        <v>35417717.469999999</v>
      </c>
      <c r="M22" s="458"/>
      <c r="N22" s="977">
        <v>4975668</v>
      </c>
      <c r="O22" s="977">
        <f>1041209.97+26317.67</f>
        <v>1067527.6399999999</v>
      </c>
      <c r="P22" s="977">
        <v>-772015</v>
      </c>
      <c r="Q22" s="979">
        <v>0</v>
      </c>
      <c r="R22" s="543">
        <f>+N22+O22-Q22+P22</f>
        <v>5271180.6399999997</v>
      </c>
      <c r="S22" s="458"/>
      <c r="T22" s="543">
        <f>1079334.24+60448.34</f>
        <v>1139782.58</v>
      </c>
      <c r="U22" s="543">
        <v>0</v>
      </c>
      <c r="V22" s="977"/>
      <c r="W22" s="543">
        <f t="shared" si="4"/>
        <v>6410963.2199999997</v>
      </c>
      <c r="X22" s="978"/>
      <c r="Y22" s="543">
        <f t="shared" ref="Y22:Y24" si="10">+L22-W22</f>
        <v>29006754.25</v>
      </c>
      <c r="Z22" s="980">
        <v>0</v>
      </c>
      <c r="AA22" s="458"/>
    </row>
    <row r="23" spans="1:27">
      <c r="A23" s="764" t="s">
        <v>660</v>
      </c>
      <c r="B23" s="215">
        <v>951281.28</v>
      </c>
      <c r="C23" s="215">
        <f>6461740.44+215723</f>
        <v>6677463.4400000004</v>
      </c>
      <c r="D23" s="215"/>
      <c r="E23" s="215">
        <v>0</v>
      </c>
      <c r="F23" s="215">
        <v>0</v>
      </c>
      <c r="G23" s="215">
        <f>+B23+C23+E23-F23</f>
        <v>7628744.7200000007</v>
      </c>
      <c r="H23" s="215">
        <f>9202830.6-4379048.52</f>
        <v>4823782.08</v>
      </c>
      <c r="I23" s="215">
        <v>-215723</v>
      </c>
      <c r="J23" s="981">
        <v>4379048.5199999996</v>
      </c>
      <c r="K23" s="215"/>
      <c r="L23" s="215">
        <f>G23+H23+I23+J23-K23</f>
        <v>16615852.32</v>
      </c>
      <c r="M23" s="458"/>
      <c r="N23" s="981">
        <v>154553</v>
      </c>
      <c r="O23" s="981">
        <v>31709.31</v>
      </c>
      <c r="P23" s="981">
        <v>-51507</v>
      </c>
      <c r="Q23" s="983">
        <v>0</v>
      </c>
      <c r="R23" s="215">
        <f>+N23+O23-Q23+P23</f>
        <v>134755.31</v>
      </c>
      <c r="S23" s="458"/>
      <c r="T23" s="215">
        <v>254291.37</v>
      </c>
      <c r="U23" s="215"/>
      <c r="V23" s="981"/>
      <c r="W23" s="215">
        <f t="shared" si="4"/>
        <v>389046.68</v>
      </c>
      <c r="X23" s="982"/>
      <c r="Y23" s="215">
        <f t="shared" si="10"/>
        <v>16226805.640000001</v>
      </c>
      <c r="Z23" s="984">
        <v>0</v>
      </c>
      <c r="AA23" s="458"/>
    </row>
    <row r="24" spans="1:27">
      <c r="A24" s="764" t="s">
        <v>1310</v>
      </c>
      <c r="B24" s="545">
        <v>44278800</v>
      </c>
      <c r="C24" s="545">
        <f>4483000-3700000-218000</f>
        <v>565000</v>
      </c>
      <c r="D24" s="545"/>
      <c r="E24" s="545">
        <v>0</v>
      </c>
      <c r="F24" s="545">
        <f>-4626370</f>
        <v>-4626370</v>
      </c>
      <c r="G24" s="545">
        <f>+B24+C24+E24+F24</f>
        <v>40217430</v>
      </c>
      <c r="H24" s="545">
        <v>158500</v>
      </c>
      <c r="I24" s="545"/>
      <c r="J24" s="987"/>
      <c r="K24" s="545">
        <v>23630</v>
      </c>
      <c r="L24" s="545">
        <f>G24+H24+I24+J24-K24</f>
        <v>40352300</v>
      </c>
      <c r="M24" s="458"/>
      <c r="N24" s="987">
        <v>0</v>
      </c>
      <c r="O24" s="987">
        <v>0</v>
      </c>
      <c r="P24" s="987">
        <v>0</v>
      </c>
      <c r="Q24" s="989">
        <v>0</v>
      </c>
      <c r="R24" s="545">
        <f>+N24+O24-Q24+P24</f>
        <v>0</v>
      </c>
      <c r="S24" s="458"/>
      <c r="T24" s="545"/>
      <c r="U24" s="545"/>
      <c r="V24" s="987"/>
      <c r="W24" s="545">
        <f t="shared" si="4"/>
        <v>0</v>
      </c>
      <c r="X24" s="988"/>
      <c r="Y24" s="545">
        <f t="shared" si="10"/>
        <v>40352300</v>
      </c>
      <c r="Z24" s="990">
        <v>0</v>
      </c>
      <c r="AA24" s="458"/>
    </row>
    <row r="25" spans="1:27">
      <c r="A25" s="764"/>
      <c r="B25" s="513" t="s">
        <v>36</v>
      </c>
      <c r="C25" s="513" t="s">
        <v>36</v>
      </c>
      <c r="D25" s="513"/>
      <c r="E25" s="513"/>
      <c r="F25" s="513"/>
      <c r="G25" s="513" t="s">
        <v>36</v>
      </c>
      <c r="H25" s="513"/>
      <c r="I25" s="513"/>
      <c r="J25" s="458"/>
      <c r="K25" s="513"/>
      <c r="L25" s="513"/>
      <c r="M25" s="458"/>
      <c r="N25" s="458"/>
      <c r="O25" s="458" t="s">
        <v>36</v>
      </c>
      <c r="P25" s="458"/>
      <c r="Q25" s="241"/>
      <c r="R25" s="513"/>
      <c r="S25" s="458"/>
      <c r="T25" s="513"/>
      <c r="U25" s="513"/>
      <c r="V25" s="458"/>
      <c r="W25" s="513">
        <f t="shared" si="4"/>
        <v>0</v>
      </c>
      <c r="X25" s="458"/>
      <c r="Y25" s="513"/>
      <c r="Z25" s="984"/>
      <c r="AA25" s="458"/>
    </row>
    <row r="26" spans="1:27">
      <c r="A26" s="194" t="s">
        <v>1184</v>
      </c>
      <c r="B26" s="149">
        <f>SUM(B27:B34)</f>
        <v>16349702</v>
      </c>
      <c r="C26" s="149">
        <f>SUM(C27:C34)</f>
        <v>725462.85000000009</v>
      </c>
      <c r="D26" s="149">
        <f>SUM(D28:D31)</f>
        <v>-423376</v>
      </c>
      <c r="E26" s="149">
        <f>SUM(E27:E34)</f>
        <v>0</v>
      </c>
      <c r="F26" s="149">
        <f>SUM(F27:F34)</f>
        <v>-9261.94</v>
      </c>
      <c r="G26" s="149">
        <f>SUM(G27:G34)</f>
        <v>16642526.909999998</v>
      </c>
      <c r="H26" s="149">
        <f t="shared" ref="H26:L26" si="11">SUM(H27:H34)</f>
        <v>2228767.66</v>
      </c>
      <c r="I26" s="149">
        <f t="shared" si="11"/>
        <v>-175</v>
      </c>
      <c r="J26" s="771">
        <f t="shared" si="11"/>
        <v>0</v>
      </c>
      <c r="K26" s="149">
        <f t="shared" si="11"/>
        <v>1932.04</v>
      </c>
      <c r="L26" s="1621">
        <f t="shared" si="11"/>
        <v>18869187.530000001</v>
      </c>
      <c r="M26" s="771"/>
      <c r="N26" s="771">
        <f>SUM(N27:N34)</f>
        <v>9006445</v>
      </c>
      <c r="O26" s="771">
        <f>SUM(O27:O34)</f>
        <v>2390549.9800000004</v>
      </c>
      <c r="P26" s="771">
        <f>SUM(P27:P34)</f>
        <v>-668485</v>
      </c>
      <c r="Q26" s="771">
        <f>SUM(Q27:Q34)</f>
        <v>4698.8100000000004</v>
      </c>
      <c r="R26" s="149">
        <f>SUM(R27:R34)+1</f>
        <v>10723813.170000002</v>
      </c>
      <c r="S26" s="771"/>
      <c r="T26" s="149">
        <f t="shared" ref="T26:W26" si="12">SUM(T27:T34)</f>
        <v>4161650.3200000003</v>
      </c>
      <c r="U26" s="149">
        <f t="shared" si="12"/>
        <v>-139.6</v>
      </c>
      <c r="V26" s="771">
        <f t="shared" si="12"/>
        <v>0</v>
      </c>
      <c r="W26" s="149">
        <f t="shared" si="12"/>
        <v>14885322.889999999</v>
      </c>
      <c r="X26" s="771"/>
      <c r="Y26" s="149">
        <f>SUM(Y27:Y34)</f>
        <v>3983864.6400000006</v>
      </c>
      <c r="Z26" s="976">
        <f>SUM(Z27:Z34)</f>
        <v>0</v>
      </c>
      <c r="AA26" s="771"/>
    </row>
    <row r="27" spans="1:27">
      <c r="A27" s="764" t="s">
        <v>1312</v>
      </c>
      <c r="B27" s="543">
        <v>4581715</v>
      </c>
      <c r="C27" s="543">
        <v>0</v>
      </c>
      <c r="D27" s="543"/>
      <c r="E27" s="543">
        <v>0</v>
      </c>
      <c r="F27" s="543">
        <v>0</v>
      </c>
      <c r="G27" s="543">
        <f t="shared" ref="G27:G34" si="13">+B27+C27+E27-F27</f>
        <v>4581715</v>
      </c>
      <c r="H27" s="543"/>
      <c r="I27" s="543"/>
      <c r="J27" s="977"/>
      <c r="K27" s="543"/>
      <c r="L27" s="543">
        <f t="shared" ref="L27:L34" si="14">G27+H27+I27+J27-K27</f>
        <v>4581715</v>
      </c>
      <c r="M27" s="458"/>
      <c r="N27" s="977">
        <v>2150031</v>
      </c>
      <c r="O27" s="977">
        <f>599761.6-1</f>
        <v>599760.6</v>
      </c>
      <c r="P27" s="977">
        <v>25977</v>
      </c>
      <c r="Q27" s="979">
        <v>0</v>
      </c>
      <c r="R27" s="543">
        <f>+N27+O27-Q27+P27+1</f>
        <v>2775769.6</v>
      </c>
      <c r="S27" s="458"/>
      <c r="T27" s="543">
        <v>590724.68999999994</v>
      </c>
      <c r="U27" s="543"/>
      <c r="V27" s="977"/>
      <c r="W27" s="543">
        <f t="shared" si="4"/>
        <v>3366494.29</v>
      </c>
      <c r="X27" s="978"/>
      <c r="Y27" s="543">
        <f t="shared" ref="Y27:Y34" si="15">+L27-W27</f>
        <v>1215220.71</v>
      </c>
      <c r="Z27" s="980">
        <v>0</v>
      </c>
      <c r="AA27" s="458"/>
    </row>
    <row r="28" spans="1:27">
      <c r="A28" s="764" t="s">
        <v>1185</v>
      </c>
      <c r="B28" s="215">
        <v>1962385</v>
      </c>
      <c r="C28" s="215">
        <v>277183.43</v>
      </c>
      <c r="D28" s="215"/>
      <c r="E28" s="215">
        <v>0</v>
      </c>
      <c r="F28" s="215">
        <v>0</v>
      </c>
      <c r="G28" s="215">
        <f t="shared" si="13"/>
        <v>2239568.4300000002</v>
      </c>
      <c r="H28" s="215">
        <f>12482.22+1957558.34-13187.14</f>
        <v>1956853.4200000002</v>
      </c>
      <c r="I28" s="215">
        <v>1339</v>
      </c>
      <c r="J28" s="981"/>
      <c r="K28" s="215">
        <v>1932.04</v>
      </c>
      <c r="L28" s="215">
        <f t="shared" si="14"/>
        <v>4195828.8100000005</v>
      </c>
      <c r="M28" s="458"/>
      <c r="N28" s="981">
        <v>990526</v>
      </c>
      <c r="O28" s="981">
        <v>288337.86</v>
      </c>
      <c r="P28" s="981">
        <v>-735.04</v>
      </c>
      <c r="Q28" s="983">
        <v>0</v>
      </c>
      <c r="R28" s="215">
        <f t="shared" ref="R28:R34" si="16">+N28+O28-Q28+P28</f>
        <v>1278128.8199999998</v>
      </c>
      <c r="S28" s="458"/>
      <c r="T28" s="215">
        <v>278754.84000000003</v>
      </c>
      <c r="U28" s="215">
        <v>1338</v>
      </c>
      <c r="V28" s="981"/>
      <c r="W28" s="215">
        <f t="shared" si="4"/>
        <v>1558221.66</v>
      </c>
      <c r="X28" s="982"/>
      <c r="Y28" s="215">
        <f t="shared" si="15"/>
        <v>2637607.1500000004</v>
      </c>
      <c r="Z28" s="984">
        <v>0</v>
      </c>
      <c r="AA28" s="458"/>
    </row>
    <row r="29" spans="1:27">
      <c r="A29" s="764" t="s">
        <v>1186</v>
      </c>
      <c r="B29" s="215">
        <v>6474219</v>
      </c>
      <c r="C29" s="215">
        <v>234676.47</v>
      </c>
      <c r="D29" s="215">
        <v>-423376</v>
      </c>
      <c r="E29" s="215">
        <v>0</v>
      </c>
      <c r="F29" s="215">
        <v>0</v>
      </c>
      <c r="G29" s="215">
        <f>+B29+C29+E29-F29+D29</f>
        <v>6285519.4699999997</v>
      </c>
      <c r="H29" s="215">
        <f>29535.8+20336.81</f>
        <v>49872.61</v>
      </c>
      <c r="I29" s="215">
        <v>-1339</v>
      </c>
      <c r="J29" s="981"/>
      <c r="K29" s="215">
        <v>0</v>
      </c>
      <c r="L29" s="215">
        <f t="shared" si="14"/>
        <v>6334053.0800000001</v>
      </c>
      <c r="M29" s="458"/>
      <c r="N29" s="981">
        <v>3643147</v>
      </c>
      <c r="O29" s="981">
        <v>1093764.47</v>
      </c>
      <c r="P29" s="981">
        <v>513138.32</v>
      </c>
      <c r="Q29" s="983">
        <v>0</v>
      </c>
      <c r="R29" s="215">
        <f t="shared" si="16"/>
        <v>5250049.79</v>
      </c>
      <c r="S29" s="458"/>
      <c r="T29" s="215">
        <f>394420.95+4215.08+48246.33+375934.7</f>
        <v>822817.06</v>
      </c>
      <c r="U29" s="215">
        <v>-1338</v>
      </c>
      <c r="V29" s="981">
        <v>0</v>
      </c>
      <c r="W29" s="215">
        <f t="shared" si="4"/>
        <v>6071528.8499999996</v>
      </c>
      <c r="X29" s="982"/>
      <c r="Y29" s="215">
        <f t="shared" si="15"/>
        <v>262524.23000000045</v>
      </c>
      <c r="Z29" s="984">
        <v>0</v>
      </c>
      <c r="AA29" s="458"/>
    </row>
    <row r="30" spans="1:27">
      <c r="A30" s="764" t="s">
        <v>637</v>
      </c>
      <c r="B30" s="215">
        <v>1463110</v>
      </c>
      <c r="C30" s="215">
        <v>0</v>
      </c>
      <c r="D30" s="215"/>
      <c r="E30" s="215">
        <v>0</v>
      </c>
      <c r="F30" s="215">
        <v>0</v>
      </c>
      <c r="G30" s="215">
        <f t="shared" si="13"/>
        <v>1463110</v>
      </c>
      <c r="H30" s="215">
        <v>110</v>
      </c>
      <c r="I30" s="215"/>
      <c r="J30" s="981"/>
      <c r="K30" s="215"/>
      <c r="L30" s="215">
        <f t="shared" si="14"/>
        <v>1463220</v>
      </c>
      <c r="M30" s="458"/>
      <c r="N30" s="981">
        <v>1463110</v>
      </c>
      <c r="O30" s="981">
        <v>48770.3</v>
      </c>
      <c r="P30" s="981">
        <v>-1365506</v>
      </c>
      <c r="Q30" s="983">
        <v>0</v>
      </c>
      <c r="R30" s="215">
        <f t="shared" si="16"/>
        <v>146374.30000000005</v>
      </c>
      <c r="S30" s="458"/>
      <c r="T30" s="215">
        <f>48770.3+102.93</f>
        <v>48873.23</v>
      </c>
      <c r="U30" s="215"/>
      <c r="V30" s="981"/>
      <c r="W30" s="215">
        <f t="shared" si="4"/>
        <v>195247.53000000006</v>
      </c>
      <c r="X30" s="982"/>
      <c r="Y30" s="215">
        <f t="shared" si="15"/>
        <v>1267972.47</v>
      </c>
      <c r="Z30" s="984">
        <v>0</v>
      </c>
      <c r="AA30" s="458"/>
    </row>
    <row r="31" spans="1:27" ht="25.5">
      <c r="A31" s="764" t="s">
        <v>638</v>
      </c>
      <c r="B31" s="215">
        <v>1839915</v>
      </c>
      <c r="C31" s="215">
        <v>202906.44</v>
      </c>
      <c r="D31" s="215"/>
      <c r="E31" s="215">
        <v>0</v>
      </c>
      <c r="F31" s="215">
        <v>-9261.94</v>
      </c>
      <c r="G31" s="215">
        <f>+B31+C31+E31+F31</f>
        <v>2033559.5</v>
      </c>
      <c r="H31" s="215">
        <f>37561.24+171009.26+13361.13</f>
        <v>221931.63</v>
      </c>
      <c r="I31" s="215">
        <v>-175</v>
      </c>
      <c r="J31" s="981"/>
      <c r="K31" s="215"/>
      <c r="L31" s="215">
        <f t="shared" si="14"/>
        <v>2255316.13</v>
      </c>
      <c r="M31" s="458"/>
      <c r="N31" s="981">
        <v>752811</v>
      </c>
      <c r="O31" s="981">
        <v>352991.97</v>
      </c>
      <c r="P31" s="981">
        <v>159279.72</v>
      </c>
      <c r="Q31" s="983">
        <v>4698.8100000000004</v>
      </c>
      <c r="R31" s="215">
        <f t="shared" si="16"/>
        <v>1260383.8799999999</v>
      </c>
      <c r="S31" s="458"/>
      <c r="T31" s="215">
        <f>340816.11+13782.95+1951131.25+125788.26-17998.01</f>
        <v>2413520.56</v>
      </c>
      <c r="U31" s="215">
        <v>-139.6</v>
      </c>
      <c r="V31" s="981"/>
      <c r="W31" s="215">
        <f t="shared" si="4"/>
        <v>3673764.84</v>
      </c>
      <c r="X31" s="982"/>
      <c r="Y31" s="215">
        <f t="shared" si="15"/>
        <v>-1418448.71</v>
      </c>
      <c r="Z31" s="984">
        <v>0</v>
      </c>
      <c r="AA31" s="458"/>
    </row>
    <row r="32" spans="1:27">
      <c r="A32" s="764" t="s">
        <v>661</v>
      </c>
      <c r="B32" s="215">
        <v>8494</v>
      </c>
      <c r="C32" s="215">
        <v>0</v>
      </c>
      <c r="D32" s="215"/>
      <c r="E32" s="215">
        <v>0</v>
      </c>
      <c r="F32" s="215">
        <v>0</v>
      </c>
      <c r="G32" s="215">
        <f t="shared" si="13"/>
        <v>8494</v>
      </c>
      <c r="H32" s="215"/>
      <c r="I32" s="215"/>
      <c r="J32" s="981"/>
      <c r="K32" s="215"/>
      <c r="L32" s="215">
        <f t="shared" si="14"/>
        <v>8494</v>
      </c>
      <c r="M32" s="458"/>
      <c r="N32" s="981">
        <v>1867</v>
      </c>
      <c r="O32" s="981">
        <v>849.31</v>
      </c>
      <c r="P32" s="981">
        <v>-639</v>
      </c>
      <c r="Q32" s="983">
        <v>0</v>
      </c>
      <c r="R32" s="215">
        <f t="shared" si="16"/>
        <v>2077.31</v>
      </c>
      <c r="S32" s="458"/>
      <c r="T32" s="215">
        <v>849.31</v>
      </c>
      <c r="U32" s="215"/>
      <c r="V32" s="981"/>
      <c r="W32" s="215">
        <f t="shared" si="4"/>
        <v>2926.62</v>
      </c>
      <c r="X32" s="982"/>
      <c r="Y32" s="215">
        <f t="shared" si="15"/>
        <v>5567.38</v>
      </c>
      <c r="Z32" s="984">
        <v>0</v>
      </c>
      <c r="AA32" s="458"/>
    </row>
    <row r="33" spans="1:27" ht="25.5">
      <c r="A33" s="764" t="s">
        <v>640</v>
      </c>
      <c r="B33" s="215">
        <v>17522</v>
      </c>
      <c r="C33" s="215">
        <v>10696.51</v>
      </c>
      <c r="D33" s="215"/>
      <c r="E33" s="215">
        <v>0</v>
      </c>
      <c r="F33" s="215">
        <v>0</v>
      </c>
      <c r="G33" s="215">
        <f t="shared" si="13"/>
        <v>28218.510000000002</v>
      </c>
      <c r="H33" s="215"/>
      <c r="I33" s="215"/>
      <c r="J33" s="981"/>
      <c r="K33" s="215"/>
      <c r="L33" s="215">
        <f t="shared" si="14"/>
        <v>28218.510000000002</v>
      </c>
      <c r="M33" s="458"/>
      <c r="N33" s="981">
        <v>4395</v>
      </c>
      <c r="O33" s="981">
        <v>5607.25</v>
      </c>
      <c r="P33" s="981"/>
      <c r="Q33" s="983">
        <v>0</v>
      </c>
      <c r="R33" s="215">
        <f t="shared" si="16"/>
        <v>10002.25</v>
      </c>
      <c r="S33" s="458"/>
      <c r="T33" s="215">
        <v>5642.41</v>
      </c>
      <c r="U33" s="215"/>
      <c r="V33" s="981"/>
      <c r="W33" s="215">
        <f t="shared" si="4"/>
        <v>15644.66</v>
      </c>
      <c r="X33" s="982"/>
      <c r="Y33" s="215">
        <f t="shared" si="15"/>
        <v>12573.850000000002</v>
      </c>
      <c r="Z33" s="984">
        <v>0</v>
      </c>
      <c r="AA33" s="458"/>
    </row>
    <row r="34" spans="1:27">
      <c r="A34" s="764" t="s">
        <v>641</v>
      </c>
      <c r="B34" s="545">
        <v>2342</v>
      </c>
      <c r="C34" s="545">
        <v>0</v>
      </c>
      <c r="D34" s="545"/>
      <c r="E34" s="545">
        <v>0</v>
      </c>
      <c r="F34" s="545">
        <v>0</v>
      </c>
      <c r="G34" s="545">
        <f t="shared" si="13"/>
        <v>2342</v>
      </c>
      <c r="H34" s="545"/>
      <c r="I34" s="545"/>
      <c r="J34" s="987"/>
      <c r="K34" s="545"/>
      <c r="L34" s="545">
        <f t="shared" si="14"/>
        <v>2342</v>
      </c>
      <c r="M34" s="458"/>
      <c r="N34" s="987">
        <v>558</v>
      </c>
      <c r="O34" s="987">
        <v>468.22</v>
      </c>
      <c r="P34" s="987"/>
      <c r="Q34" s="989">
        <v>0</v>
      </c>
      <c r="R34" s="545">
        <f t="shared" si="16"/>
        <v>1026.22</v>
      </c>
      <c r="S34" s="458"/>
      <c r="T34" s="545">
        <v>468.22</v>
      </c>
      <c r="U34" s="545"/>
      <c r="V34" s="987"/>
      <c r="W34" s="545">
        <f t="shared" si="4"/>
        <v>1494.44</v>
      </c>
      <c r="X34" s="988"/>
      <c r="Y34" s="545">
        <f t="shared" si="15"/>
        <v>847.56</v>
      </c>
      <c r="Z34" s="990">
        <v>0</v>
      </c>
      <c r="AA34" s="458"/>
    </row>
    <row r="35" spans="1:27">
      <c r="A35" s="764"/>
      <c r="B35" s="513"/>
      <c r="C35" s="513"/>
      <c r="D35" s="513"/>
      <c r="E35" s="513"/>
      <c r="F35" s="513"/>
      <c r="G35" s="513"/>
      <c r="H35" s="513"/>
      <c r="I35" s="513"/>
      <c r="J35" s="458"/>
      <c r="K35" s="513"/>
      <c r="L35" s="513"/>
      <c r="M35" s="458"/>
      <c r="N35" s="458"/>
      <c r="O35" s="458"/>
      <c r="P35" s="458"/>
      <c r="Q35" s="241"/>
      <c r="R35" s="513"/>
      <c r="S35" s="458"/>
      <c r="T35" s="513"/>
      <c r="U35" s="513"/>
      <c r="V35" s="458"/>
      <c r="W35" s="513"/>
      <c r="X35" s="458"/>
      <c r="Y35" s="513"/>
      <c r="Z35" s="984"/>
      <c r="AA35" s="458"/>
    </row>
    <row r="36" spans="1:27">
      <c r="A36" s="194" t="s">
        <v>1188</v>
      </c>
      <c r="B36" s="149">
        <f t="shared" ref="B36:L36" si="17">B26+B21+B8</f>
        <v>119971866.94</v>
      </c>
      <c r="C36" s="149">
        <f t="shared" si="17"/>
        <v>12364563.58</v>
      </c>
      <c r="D36" s="149">
        <f t="shared" si="17"/>
        <v>-423376</v>
      </c>
      <c r="E36" s="149">
        <f t="shared" si="17"/>
        <v>0</v>
      </c>
      <c r="F36" s="149">
        <f t="shared" si="17"/>
        <v>-4635631.9400000004</v>
      </c>
      <c r="G36" s="149">
        <f t="shared" si="17"/>
        <v>127277422.57999998</v>
      </c>
      <c r="H36" s="149">
        <f t="shared" si="17"/>
        <v>10246602.26</v>
      </c>
      <c r="I36" s="149">
        <f t="shared" si="17"/>
        <v>-981300.88</v>
      </c>
      <c r="J36" s="771">
        <f t="shared" si="17"/>
        <v>5935765</v>
      </c>
      <c r="K36" s="149">
        <f t="shared" si="17"/>
        <v>25562.04</v>
      </c>
      <c r="L36" s="149">
        <f t="shared" si="17"/>
        <v>142452926.91999999</v>
      </c>
      <c r="M36" s="771"/>
      <c r="N36" s="771">
        <f>N26+N21+N8</f>
        <v>25972907</v>
      </c>
      <c r="O36" s="771">
        <f>O26+O21+O8</f>
        <v>4807122.2200000007</v>
      </c>
      <c r="P36" s="771">
        <f>P26+P21+P8</f>
        <v>-1611218</v>
      </c>
      <c r="Q36" s="771">
        <f>Q26+Q21+Q8</f>
        <v>4698.8100000000004</v>
      </c>
      <c r="R36" s="149">
        <f>R26+R21+R8</f>
        <v>29164110.41</v>
      </c>
      <c r="S36" s="771"/>
      <c r="T36" s="149">
        <f t="shared" ref="T36:W36" si="18">T26+T21+T8</f>
        <v>7102462.9000000004</v>
      </c>
      <c r="U36" s="149">
        <f t="shared" si="18"/>
        <v>-3.9999999999992042E-2</v>
      </c>
      <c r="V36" s="771">
        <f t="shared" si="18"/>
        <v>0</v>
      </c>
      <c r="W36" s="149">
        <f t="shared" si="18"/>
        <v>36266572.269999996</v>
      </c>
      <c r="X36" s="771"/>
      <c r="Y36" s="149">
        <f>Y26+Y21+Y8</f>
        <v>106186354.65000001</v>
      </c>
      <c r="Z36" s="976">
        <f>Z26+Z21+Z8</f>
        <v>0</v>
      </c>
      <c r="AA36" s="771"/>
    </row>
    <row r="37" spans="1:27">
      <c r="A37" s="197"/>
      <c r="B37" s="910"/>
      <c r="C37" s="910"/>
      <c r="D37" s="910"/>
      <c r="E37" s="910"/>
      <c r="F37" s="910"/>
      <c r="G37" s="910"/>
      <c r="H37" s="910"/>
      <c r="I37" s="910"/>
      <c r="J37" s="1201"/>
      <c r="K37" s="910"/>
      <c r="L37" s="910"/>
      <c r="M37" s="1201"/>
      <c r="N37" s="1201"/>
      <c r="O37" s="1750"/>
      <c r="P37" s="1750"/>
      <c r="Q37" s="1750"/>
      <c r="R37" s="910"/>
      <c r="S37" s="1201"/>
      <c r="T37" s="910"/>
      <c r="U37" s="910"/>
      <c r="V37" s="1201"/>
      <c r="W37" s="910"/>
      <c r="X37" s="1201"/>
      <c r="Y37" s="910"/>
      <c r="Z37" s="991"/>
      <c r="AA37" s="771"/>
    </row>
    <row r="38" spans="1:27">
      <c r="A38" s="1197"/>
      <c r="B38" s="671"/>
      <c r="C38" s="513"/>
      <c r="D38" s="513"/>
      <c r="E38" s="513"/>
      <c r="F38" s="513"/>
      <c r="G38" s="513"/>
      <c r="H38" s="513"/>
      <c r="I38" s="513"/>
      <c r="J38" s="458"/>
      <c r="K38" s="513"/>
      <c r="L38" s="513"/>
      <c r="M38" s="458"/>
      <c r="N38" s="458"/>
      <c r="O38" s="458"/>
      <c r="P38" s="458"/>
      <c r="Q38" s="458"/>
      <c r="R38" s="513"/>
      <c r="S38" s="458"/>
      <c r="T38" s="513"/>
      <c r="U38" s="513"/>
      <c r="V38" s="458"/>
      <c r="W38" s="513"/>
      <c r="X38" s="458"/>
      <c r="Y38" s="513"/>
      <c r="Z38" s="458"/>
    </row>
    <row r="39" spans="1:27">
      <c r="A39" s="1197"/>
      <c r="B39" s="317"/>
      <c r="C39" s="334">
        <f>'Appendix C'!C59</f>
        <v>12364563.92</v>
      </c>
      <c r="Y39" s="334">
        <f>'Appendix C'!Z59</f>
        <v>106186355.08</v>
      </c>
    </row>
    <row r="40" spans="1:27">
      <c r="A40" s="1197"/>
      <c r="B40" s="317"/>
      <c r="C40" s="334">
        <f>C36-C39</f>
        <v>-0.33999999985098839</v>
      </c>
      <c r="Y40" s="334">
        <f>Y36-Y39</f>
        <v>-0.42999999225139618</v>
      </c>
    </row>
    <row r="41" spans="1:27">
      <c r="A41" s="1197"/>
      <c r="B41" s="317"/>
    </row>
    <row r="42" spans="1:27">
      <c r="A42" s="1197"/>
      <c r="B42" s="317"/>
      <c r="O42" s="312" t="s">
        <v>36</v>
      </c>
      <c r="P42" s="312" t="s">
        <v>36</v>
      </c>
    </row>
    <row r="43" spans="1:27">
      <c r="A43" s="1197"/>
      <c r="B43" s="317"/>
    </row>
    <row r="44" spans="1:27">
      <c r="A44" s="1197"/>
      <c r="B44" s="317"/>
      <c r="O44" s="312" t="s">
        <v>36</v>
      </c>
    </row>
    <row r="45" spans="1:27">
      <c r="A45" s="1197"/>
      <c r="B45" s="317"/>
    </row>
    <row r="46" spans="1:27">
      <c r="A46" s="1197"/>
      <c r="B46" s="317"/>
    </row>
    <row r="47" spans="1:27">
      <c r="A47" s="1197"/>
      <c r="B47" s="317"/>
    </row>
    <row r="48" spans="1:27">
      <c r="A48" s="1197"/>
      <c r="B48" s="317"/>
    </row>
    <row r="49" spans="1:21">
      <c r="A49" s="1197"/>
      <c r="B49" s="317"/>
    </row>
    <row r="50" spans="1:21">
      <c r="A50" s="1197"/>
      <c r="B50" s="317"/>
      <c r="U50" s="334">
        <f>7102463-4803582</f>
        <v>2298881</v>
      </c>
    </row>
    <row r="51" spans="1:21">
      <c r="A51" s="1197"/>
      <c r="B51" s="317"/>
    </row>
    <row r="52" spans="1:21">
      <c r="A52" s="1197"/>
      <c r="B52" s="317"/>
    </row>
    <row r="53" spans="1:21">
      <c r="A53" s="1197"/>
      <c r="B53" s="317"/>
    </row>
    <row r="54" spans="1:21">
      <c r="A54" s="1197"/>
      <c r="B54" s="317"/>
    </row>
    <row r="55" spans="1:21">
      <c r="A55" s="1197"/>
      <c r="B55" s="317"/>
    </row>
    <row r="56" spans="1:21">
      <c r="A56" s="1197"/>
      <c r="B56" s="317"/>
    </row>
    <row r="57" spans="1:21">
      <c r="A57" s="1197"/>
      <c r="B57" s="317"/>
    </row>
    <row r="58" spans="1:21">
      <c r="A58" s="1197"/>
      <c r="B58" s="317"/>
    </row>
    <row r="59" spans="1:21">
      <c r="A59" s="1197"/>
      <c r="B59" s="317"/>
      <c r="N59" s="316"/>
      <c r="O59" s="316"/>
      <c r="P59" s="316"/>
    </row>
    <row r="60" spans="1:21">
      <c r="A60" s="1197"/>
      <c r="B60" s="317"/>
      <c r="N60" s="316"/>
      <c r="O60" s="316"/>
      <c r="P60" s="316"/>
    </row>
    <row r="61" spans="1:21">
      <c r="A61" s="1197"/>
      <c r="B61" s="317"/>
      <c r="N61" s="316"/>
      <c r="O61" s="316"/>
      <c r="P61" s="316"/>
    </row>
    <row r="62" spans="1:21">
      <c r="A62" s="1197"/>
      <c r="B62" s="317"/>
      <c r="N62" s="316"/>
      <c r="O62" s="316"/>
      <c r="P62" s="316"/>
    </row>
    <row r="63" spans="1:21">
      <c r="A63" s="1197"/>
      <c r="B63" s="317"/>
      <c r="N63" s="316"/>
      <c r="O63" s="316"/>
      <c r="P63" s="316"/>
    </row>
    <row r="64" spans="1:21">
      <c r="A64" s="1197"/>
      <c r="B64" s="317"/>
      <c r="N64" s="316"/>
      <c r="O64" s="316"/>
      <c r="P64" s="316"/>
    </row>
    <row r="65" spans="1:16">
      <c r="A65" s="1197"/>
      <c r="B65" s="317"/>
      <c r="N65" s="316"/>
      <c r="O65" s="316"/>
      <c r="P65" s="316"/>
    </row>
    <row r="66" spans="1:16">
      <c r="A66" s="1197"/>
      <c r="B66" s="317"/>
    </row>
    <row r="67" spans="1:16">
      <c r="A67" s="1197"/>
      <c r="B67" s="317"/>
    </row>
    <row r="68" spans="1:16">
      <c r="A68" s="1197"/>
      <c r="B68" s="317"/>
    </row>
    <row r="69" spans="1:16">
      <c r="A69" s="1197"/>
      <c r="B69" s="317"/>
    </row>
    <row r="70" spans="1:16">
      <c r="A70" s="1197"/>
      <c r="B70" s="317"/>
    </row>
    <row r="71" spans="1:16">
      <c r="A71" s="1197"/>
      <c r="B71" s="317"/>
    </row>
    <row r="72" spans="1:16">
      <c r="A72" s="1197"/>
      <c r="B72" s="317"/>
    </row>
    <row r="73" spans="1:16">
      <c r="A73" s="1197"/>
      <c r="B73" s="317"/>
    </row>
    <row r="74" spans="1:16">
      <c r="A74" s="1197"/>
      <c r="B74" s="317"/>
    </row>
    <row r="75" spans="1:16">
      <c r="A75" s="1197"/>
      <c r="B75" s="317"/>
    </row>
    <row r="76" spans="1:16">
      <c r="A76" s="1197"/>
      <c r="B76" s="317"/>
    </row>
    <row r="77" spans="1:16">
      <c r="A77" s="1197"/>
      <c r="B77" s="317"/>
    </row>
    <row r="78" spans="1:16">
      <c r="A78" s="1197"/>
      <c r="B78" s="317"/>
    </row>
    <row r="79" spans="1:16">
      <c r="A79" s="1197"/>
      <c r="B79" s="317"/>
    </row>
    <row r="80" spans="1:16">
      <c r="A80" s="1197"/>
      <c r="B80" s="317"/>
    </row>
    <row r="81" spans="1:2">
      <c r="A81" s="1197"/>
      <c r="B81" s="317"/>
    </row>
    <row r="82" spans="1:2">
      <c r="A82" s="1197"/>
      <c r="B82" s="317"/>
    </row>
    <row r="83" spans="1:2">
      <c r="A83" s="1197"/>
      <c r="B83" s="317"/>
    </row>
    <row r="84" spans="1:2">
      <c r="A84" s="1197"/>
      <c r="B84" s="317"/>
    </row>
    <row r="85" spans="1:2">
      <c r="A85" s="1197"/>
      <c r="B85" s="317"/>
    </row>
    <row r="86" spans="1:2">
      <c r="A86" s="1197"/>
      <c r="B86" s="317"/>
    </row>
    <row r="87" spans="1:2">
      <c r="A87" s="1197"/>
      <c r="B87" s="317"/>
    </row>
    <row r="88" spans="1:2">
      <c r="A88" s="1197"/>
      <c r="B88" s="317"/>
    </row>
    <row r="89" spans="1:2">
      <c r="A89" s="1197"/>
      <c r="B89" s="317"/>
    </row>
    <row r="90" spans="1:2">
      <c r="A90" s="1197"/>
      <c r="B90" s="317"/>
    </row>
    <row r="91" spans="1:2">
      <c r="A91" s="1197"/>
      <c r="B91" s="317"/>
    </row>
    <row r="92" spans="1:2">
      <c r="A92" s="1197"/>
      <c r="B92" s="317"/>
    </row>
    <row r="93" spans="1:2">
      <c r="A93" s="1197"/>
      <c r="B93" s="317"/>
    </row>
    <row r="94" spans="1:2">
      <c r="A94" s="1197"/>
      <c r="B94" s="317"/>
    </row>
    <row r="95" spans="1:2">
      <c r="A95" s="1197"/>
      <c r="B95" s="317"/>
    </row>
    <row r="96" spans="1:2">
      <c r="A96" s="1197"/>
      <c r="B96" s="317"/>
    </row>
    <row r="97" spans="1:2">
      <c r="A97" s="1197"/>
      <c r="B97" s="317"/>
    </row>
    <row r="98" spans="1:2">
      <c r="A98" s="1197"/>
      <c r="B98" s="317"/>
    </row>
    <row r="99" spans="1:2">
      <c r="A99" s="1197"/>
      <c r="B99" s="317"/>
    </row>
    <row r="100" spans="1:2">
      <c r="A100" s="1197"/>
      <c r="B100" s="317"/>
    </row>
    <row r="101" spans="1:2">
      <c r="A101" s="1197"/>
      <c r="B101" s="317"/>
    </row>
    <row r="102" spans="1:2">
      <c r="A102" s="1197"/>
      <c r="B102" s="317"/>
    </row>
    <row r="103" spans="1:2">
      <c r="A103" s="1197"/>
      <c r="B103" s="317"/>
    </row>
    <row r="104" spans="1:2">
      <c r="A104" s="1197"/>
      <c r="B104" s="317"/>
    </row>
    <row r="105" spans="1:2">
      <c r="A105" s="1197"/>
      <c r="B105" s="317"/>
    </row>
    <row r="106" spans="1:2">
      <c r="A106" s="1197"/>
      <c r="B106" s="317"/>
    </row>
    <row r="107" spans="1:2">
      <c r="A107" s="1197"/>
      <c r="B107" s="317"/>
    </row>
    <row r="108" spans="1:2">
      <c r="A108" s="1197"/>
      <c r="B108" s="317"/>
    </row>
    <row r="109" spans="1:2">
      <c r="A109" s="1197"/>
      <c r="B109" s="317"/>
    </row>
    <row r="110" spans="1:2">
      <c r="A110" s="1197"/>
      <c r="B110" s="317"/>
    </row>
    <row r="111" spans="1:2">
      <c r="A111" s="1197"/>
      <c r="B111" s="317"/>
    </row>
    <row r="112" spans="1:2">
      <c r="A112" s="1197"/>
      <c r="B112" s="317"/>
    </row>
    <row r="113" spans="1:2">
      <c r="A113" s="1197"/>
      <c r="B113" s="317"/>
    </row>
    <row r="114" spans="1:2">
      <c r="A114" s="1197"/>
      <c r="B114" s="317"/>
    </row>
    <row r="115" spans="1:2">
      <c r="A115" s="1197"/>
      <c r="B115" s="317"/>
    </row>
    <row r="116" spans="1:2">
      <c r="A116" s="1197"/>
      <c r="B116" s="317"/>
    </row>
    <row r="117" spans="1:2">
      <c r="A117" s="1197"/>
      <c r="B117" s="317"/>
    </row>
    <row r="118" spans="1:2">
      <c r="A118" s="1197"/>
      <c r="B118" s="317"/>
    </row>
    <row r="119" spans="1:2">
      <c r="A119" s="1197"/>
      <c r="B119" s="317"/>
    </row>
    <row r="120" spans="1:2">
      <c r="A120" s="1197"/>
      <c r="B120" s="317"/>
    </row>
    <row r="121" spans="1:2">
      <c r="A121" s="1197"/>
      <c r="B121" s="317"/>
    </row>
    <row r="122" spans="1:2">
      <c r="A122" s="1197"/>
      <c r="B122" s="317"/>
    </row>
    <row r="123" spans="1:2">
      <c r="A123" s="1197"/>
      <c r="B123" s="317"/>
    </row>
    <row r="124" spans="1:2">
      <c r="A124" s="1197"/>
      <c r="B124" s="317"/>
    </row>
    <row r="125" spans="1:2">
      <c r="A125" s="1197"/>
      <c r="B125" s="317"/>
    </row>
    <row r="126" spans="1:2">
      <c r="A126" s="1197"/>
      <c r="B126" s="317"/>
    </row>
    <row r="127" spans="1:2">
      <c r="A127" s="1197"/>
      <c r="B127" s="317"/>
    </row>
    <row r="128" spans="1:2">
      <c r="A128" s="1197"/>
      <c r="B128" s="317"/>
    </row>
    <row r="129" spans="1:2">
      <c r="A129" s="1197"/>
      <c r="B129" s="317"/>
    </row>
    <row r="130" spans="1:2">
      <c r="A130" s="1197"/>
      <c r="B130" s="317"/>
    </row>
    <row r="131" spans="1:2">
      <c r="A131" s="1197"/>
      <c r="B131" s="317"/>
    </row>
    <row r="132" spans="1:2">
      <c r="A132" s="1197"/>
      <c r="B132" s="317"/>
    </row>
    <row r="133" spans="1:2">
      <c r="A133" s="1197"/>
      <c r="B133" s="317"/>
    </row>
    <row r="134" spans="1:2">
      <c r="A134" s="1197"/>
      <c r="B134" s="317"/>
    </row>
    <row r="135" spans="1:2">
      <c r="A135" s="1197"/>
      <c r="B135" s="317"/>
    </row>
    <row r="136" spans="1:2">
      <c r="A136" s="1197"/>
      <c r="B136" s="317"/>
    </row>
    <row r="137" spans="1:2">
      <c r="A137" s="1197"/>
      <c r="B137" s="317"/>
    </row>
    <row r="138" spans="1:2">
      <c r="A138" s="1197"/>
      <c r="B138" s="317"/>
    </row>
    <row r="139" spans="1:2">
      <c r="A139" s="1197"/>
      <c r="B139" s="317"/>
    </row>
    <row r="140" spans="1:2">
      <c r="A140" s="1197"/>
      <c r="B140" s="317"/>
    </row>
    <row r="141" spans="1:2">
      <c r="A141" s="1197"/>
      <c r="B141" s="317"/>
    </row>
    <row r="142" spans="1:2">
      <c r="A142" s="1197"/>
      <c r="B142" s="317"/>
    </row>
    <row r="143" spans="1:2">
      <c r="A143" s="1197"/>
      <c r="B143" s="317"/>
    </row>
    <row r="144" spans="1:2">
      <c r="A144" s="1197"/>
      <c r="B144" s="317"/>
    </row>
    <row r="145" spans="1:2">
      <c r="A145" s="1197"/>
      <c r="B145" s="317"/>
    </row>
    <row r="146" spans="1:2">
      <c r="A146" s="1197"/>
      <c r="B146" s="317"/>
    </row>
    <row r="147" spans="1:2">
      <c r="A147" s="1197"/>
      <c r="B147" s="317"/>
    </row>
    <row r="148" spans="1:2">
      <c r="A148" s="1197"/>
      <c r="B148" s="317"/>
    </row>
    <row r="149" spans="1:2">
      <c r="A149" s="1197"/>
      <c r="B149" s="317"/>
    </row>
    <row r="150" spans="1:2">
      <c r="A150" s="1197"/>
      <c r="B150" s="317"/>
    </row>
    <row r="151" spans="1:2">
      <c r="A151" s="1197"/>
      <c r="B151" s="317"/>
    </row>
    <row r="152" spans="1:2">
      <c r="A152" s="1197"/>
      <c r="B152" s="317"/>
    </row>
    <row r="153" spans="1:2">
      <c r="A153" s="1197"/>
      <c r="B153" s="317"/>
    </row>
    <row r="154" spans="1:2">
      <c r="A154" s="1197"/>
      <c r="B154" s="317"/>
    </row>
    <row r="155" spans="1:2">
      <c r="A155" s="1197"/>
      <c r="B155" s="317"/>
    </row>
    <row r="156" spans="1:2">
      <c r="A156" s="1197"/>
      <c r="B156" s="317"/>
    </row>
    <row r="157" spans="1:2">
      <c r="A157" s="1197"/>
      <c r="B157" s="317"/>
    </row>
    <row r="158" spans="1:2">
      <c r="A158" s="1197"/>
      <c r="B158" s="317"/>
    </row>
    <row r="159" spans="1:2">
      <c r="A159" s="1197"/>
      <c r="B159" s="317"/>
    </row>
    <row r="160" spans="1:2">
      <c r="A160" s="1197"/>
      <c r="B160" s="317"/>
    </row>
    <row r="161" spans="1:2">
      <c r="A161" s="1197"/>
      <c r="B161" s="317"/>
    </row>
    <row r="162" spans="1:2">
      <c r="A162" s="1197"/>
      <c r="B162" s="317"/>
    </row>
    <row r="163" spans="1:2">
      <c r="A163" s="1197"/>
      <c r="B163" s="317"/>
    </row>
    <row r="164" spans="1:2">
      <c r="A164" s="1197"/>
      <c r="B164" s="317"/>
    </row>
    <row r="165" spans="1:2">
      <c r="A165" s="1197"/>
      <c r="B165" s="317"/>
    </row>
    <row r="166" spans="1:2">
      <c r="A166" s="1197"/>
      <c r="B166" s="317"/>
    </row>
    <row r="167" spans="1:2">
      <c r="A167" s="1197"/>
      <c r="B167" s="317"/>
    </row>
    <row r="168" spans="1:2">
      <c r="A168" s="1197"/>
      <c r="B168" s="317"/>
    </row>
    <row r="169" spans="1:2">
      <c r="A169" s="1197"/>
      <c r="B169" s="317"/>
    </row>
    <row r="170" spans="1:2">
      <c r="A170" s="1197"/>
      <c r="B170" s="317"/>
    </row>
    <row r="171" spans="1:2">
      <c r="A171" s="1197"/>
      <c r="B171" s="317"/>
    </row>
    <row r="172" spans="1:2">
      <c r="A172" s="1197"/>
      <c r="B172" s="317"/>
    </row>
    <row r="173" spans="1:2">
      <c r="A173" s="1197"/>
      <c r="B173" s="317"/>
    </row>
    <row r="174" spans="1:2">
      <c r="A174" s="1197"/>
      <c r="B174" s="317"/>
    </row>
    <row r="175" spans="1:2">
      <c r="A175" s="1197"/>
      <c r="B175" s="317"/>
    </row>
    <row r="176" spans="1:2">
      <c r="A176" s="1197"/>
      <c r="B176" s="317"/>
    </row>
    <row r="177" spans="1:2">
      <c r="A177" s="1197"/>
      <c r="B177" s="317"/>
    </row>
    <row r="178" spans="1:2">
      <c r="A178" s="1197"/>
      <c r="B178" s="317"/>
    </row>
    <row r="179" spans="1:2">
      <c r="A179" s="1197"/>
      <c r="B179" s="317"/>
    </row>
    <row r="180" spans="1:2">
      <c r="A180" s="1197"/>
      <c r="B180" s="317"/>
    </row>
    <row r="181" spans="1:2">
      <c r="A181" s="1197"/>
      <c r="B181" s="317"/>
    </row>
    <row r="182" spans="1:2">
      <c r="A182" s="1197"/>
      <c r="B182" s="317"/>
    </row>
    <row r="183" spans="1:2">
      <c r="A183" s="1197"/>
      <c r="B183" s="317"/>
    </row>
    <row r="184" spans="1:2">
      <c r="A184" s="1197"/>
      <c r="B184" s="317"/>
    </row>
    <row r="185" spans="1:2">
      <c r="A185" s="1197"/>
      <c r="B185" s="317"/>
    </row>
    <row r="186" spans="1:2">
      <c r="A186" s="1197"/>
      <c r="B186" s="317"/>
    </row>
    <row r="187" spans="1:2">
      <c r="A187" s="1197"/>
      <c r="B187" s="317"/>
    </row>
    <row r="188" spans="1:2">
      <c r="A188" s="1197"/>
      <c r="B188" s="317"/>
    </row>
    <row r="189" spans="1:2">
      <c r="A189" s="1197"/>
      <c r="B189" s="317"/>
    </row>
    <row r="190" spans="1:2">
      <c r="A190" s="1197"/>
      <c r="B190" s="317"/>
    </row>
    <row r="191" spans="1:2">
      <c r="A191" s="1197"/>
      <c r="B191" s="317"/>
    </row>
    <row r="192" spans="1:2">
      <c r="A192" s="1197"/>
      <c r="B192" s="317"/>
    </row>
    <row r="193" spans="1:2">
      <c r="A193" s="1197"/>
      <c r="B193" s="317"/>
    </row>
    <row r="194" spans="1:2">
      <c r="A194" s="1197"/>
      <c r="B194" s="317"/>
    </row>
    <row r="195" spans="1:2">
      <c r="A195" s="1197"/>
      <c r="B195" s="317"/>
    </row>
    <row r="196" spans="1:2">
      <c r="A196" s="1197"/>
      <c r="B196" s="317"/>
    </row>
    <row r="197" spans="1:2">
      <c r="A197" s="1197"/>
      <c r="B197" s="317"/>
    </row>
    <row r="198" spans="1:2">
      <c r="A198" s="1197"/>
      <c r="B198" s="317"/>
    </row>
    <row r="199" spans="1:2">
      <c r="A199" s="1197"/>
      <c r="B199" s="317"/>
    </row>
    <row r="200" spans="1:2">
      <c r="A200" s="1197"/>
      <c r="B200" s="317"/>
    </row>
    <row r="201" spans="1:2">
      <c r="A201" s="1197"/>
      <c r="B201" s="317"/>
    </row>
    <row r="202" spans="1:2">
      <c r="A202" s="1197"/>
      <c r="B202" s="317"/>
    </row>
    <row r="203" spans="1:2">
      <c r="A203" s="1197"/>
      <c r="B203" s="317"/>
    </row>
    <row r="204" spans="1:2">
      <c r="A204" s="1197"/>
      <c r="B204" s="317"/>
    </row>
    <row r="205" spans="1:2">
      <c r="A205" s="1197"/>
      <c r="B205" s="317"/>
    </row>
    <row r="206" spans="1:2">
      <c r="A206" s="1197"/>
      <c r="B206" s="317"/>
    </row>
    <row r="207" spans="1:2">
      <c r="A207" s="1197"/>
      <c r="B207" s="317"/>
    </row>
    <row r="208" spans="1:2">
      <c r="A208" s="1197"/>
      <c r="B208" s="317"/>
    </row>
    <row r="209" spans="1:2">
      <c r="A209" s="1197"/>
      <c r="B209" s="317"/>
    </row>
    <row r="210" spans="1:2">
      <c r="A210" s="1197"/>
      <c r="B210" s="317"/>
    </row>
    <row r="211" spans="1:2">
      <c r="A211" s="1197"/>
      <c r="B211" s="317"/>
    </row>
    <row r="212" spans="1:2">
      <c r="A212" s="1197"/>
      <c r="B212" s="317"/>
    </row>
    <row r="213" spans="1:2">
      <c r="A213" s="1197"/>
      <c r="B213" s="317"/>
    </row>
    <row r="214" spans="1:2">
      <c r="A214" s="1197"/>
      <c r="B214" s="317"/>
    </row>
    <row r="215" spans="1:2">
      <c r="A215" s="1197"/>
      <c r="B215" s="317"/>
    </row>
    <row r="216" spans="1:2">
      <c r="A216" s="1197"/>
      <c r="B216" s="317"/>
    </row>
    <row r="217" spans="1:2">
      <c r="A217" s="1197"/>
      <c r="B217" s="317"/>
    </row>
    <row r="218" spans="1:2">
      <c r="A218" s="1197"/>
      <c r="B218" s="317"/>
    </row>
    <row r="219" spans="1:2">
      <c r="A219" s="1197"/>
      <c r="B219" s="317"/>
    </row>
    <row r="220" spans="1:2">
      <c r="A220" s="1197"/>
      <c r="B220" s="317"/>
    </row>
    <row r="221" spans="1:2">
      <c r="A221" s="1197"/>
      <c r="B221" s="317"/>
    </row>
    <row r="222" spans="1:2">
      <c r="A222" s="1197"/>
      <c r="B222" s="317"/>
    </row>
    <row r="223" spans="1:2">
      <c r="A223" s="1197"/>
      <c r="B223" s="317"/>
    </row>
    <row r="224" spans="1:2">
      <c r="A224" s="1197"/>
      <c r="B224" s="317"/>
    </row>
    <row r="225" spans="1:2">
      <c r="A225" s="1197"/>
      <c r="B225" s="317"/>
    </row>
    <row r="226" spans="1:2">
      <c r="A226" s="1197"/>
      <c r="B226" s="317"/>
    </row>
    <row r="227" spans="1:2">
      <c r="A227" s="1197"/>
      <c r="B227" s="317"/>
    </row>
    <row r="228" spans="1:2">
      <c r="A228" s="1197"/>
      <c r="B228" s="317"/>
    </row>
    <row r="229" spans="1:2">
      <c r="A229" s="1197"/>
      <c r="B229" s="317"/>
    </row>
    <row r="230" spans="1:2">
      <c r="A230" s="1197"/>
      <c r="B230" s="317"/>
    </row>
    <row r="231" spans="1:2">
      <c r="A231" s="1197"/>
      <c r="B231" s="317"/>
    </row>
    <row r="232" spans="1:2">
      <c r="A232" s="1197"/>
      <c r="B232" s="317"/>
    </row>
    <row r="233" spans="1:2">
      <c r="A233" s="1197"/>
      <c r="B233" s="317"/>
    </row>
    <row r="234" spans="1:2">
      <c r="A234" s="1197"/>
      <c r="B234" s="317"/>
    </row>
    <row r="235" spans="1:2">
      <c r="A235" s="1197"/>
      <c r="B235" s="317"/>
    </row>
    <row r="236" spans="1:2">
      <c r="A236" s="1197"/>
      <c r="B236" s="317"/>
    </row>
    <row r="237" spans="1:2">
      <c r="A237" s="1197"/>
      <c r="B237" s="317"/>
    </row>
    <row r="238" spans="1:2">
      <c r="A238" s="1197"/>
      <c r="B238" s="317"/>
    </row>
    <row r="239" spans="1:2">
      <c r="A239" s="1197"/>
      <c r="B239" s="317"/>
    </row>
    <row r="240" spans="1:2">
      <c r="A240" s="1197"/>
      <c r="B240" s="317"/>
    </row>
    <row r="241" spans="1:2">
      <c r="A241" s="1197"/>
      <c r="B241" s="317"/>
    </row>
    <row r="242" spans="1:2">
      <c r="A242" s="1197"/>
      <c r="B242" s="317"/>
    </row>
    <row r="243" spans="1:2">
      <c r="A243" s="1197"/>
      <c r="B243" s="317"/>
    </row>
    <row r="244" spans="1:2">
      <c r="A244" s="1197"/>
      <c r="B244" s="317"/>
    </row>
    <row r="245" spans="1:2">
      <c r="A245" s="1197"/>
      <c r="B245" s="317"/>
    </row>
    <row r="246" spans="1:2">
      <c r="A246" s="1197"/>
      <c r="B246" s="317"/>
    </row>
    <row r="247" spans="1:2">
      <c r="A247" s="1197"/>
      <c r="B247" s="317"/>
    </row>
    <row r="248" spans="1:2">
      <c r="A248" s="1197"/>
      <c r="B248" s="317"/>
    </row>
    <row r="249" spans="1:2">
      <c r="A249" s="1197"/>
      <c r="B249" s="317"/>
    </row>
    <row r="250" spans="1:2">
      <c r="A250" s="1197"/>
      <c r="B250" s="317"/>
    </row>
    <row r="251" spans="1:2">
      <c r="A251" s="1197"/>
      <c r="B251" s="317"/>
    </row>
    <row r="252" spans="1:2">
      <c r="A252" s="1197"/>
      <c r="B252" s="317"/>
    </row>
    <row r="253" spans="1:2">
      <c r="A253" s="1197"/>
      <c r="B253" s="317"/>
    </row>
    <row r="254" spans="1:2">
      <c r="A254" s="1197"/>
      <c r="B254" s="317"/>
    </row>
    <row r="255" spans="1:2">
      <c r="A255" s="1197"/>
      <c r="B255" s="317"/>
    </row>
    <row r="256" spans="1:2">
      <c r="A256" s="1197"/>
      <c r="B256" s="317"/>
    </row>
    <row r="257" spans="1:2">
      <c r="A257" s="1197"/>
      <c r="B257" s="317"/>
    </row>
    <row r="258" spans="1:2">
      <c r="A258" s="1197"/>
      <c r="B258" s="317"/>
    </row>
    <row r="259" spans="1:2">
      <c r="A259" s="1197"/>
      <c r="B259" s="317"/>
    </row>
    <row r="260" spans="1:2">
      <c r="A260" s="1197"/>
      <c r="B260" s="317"/>
    </row>
    <row r="261" spans="1:2">
      <c r="A261" s="1197"/>
      <c r="B261" s="317"/>
    </row>
    <row r="262" spans="1:2">
      <c r="A262" s="1197"/>
      <c r="B262" s="317"/>
    </row>
    <row r="263" spans="1:2">
      <c r="A263" s="1197"/>
      <c r="B263" s="317"/>
    </row>
    <row r="264" spans="1:2">
      <c r="A264" s="1197"/>
      <c r="B264" s="317"/>
    </row>
    <row r="265" spans="1:2">
      <c r="A265" s="1197"/>
      <c r="B265" s="317"/>
    </row>
    <row r="266" spans="1:2">
      <c r="A266" s="1197"/>
      <c r="B266" s="317"/>
    </row>
    <row r="267" spans="1:2">
      <c r="A267" s="1197"/>
      <c r="B267" s="317"/>
    </row>
    <row r="268" spans="1:2">
      <c r="A268" s="1197"/>
      <c r="B268" s="317"/>
    </row>
    <row r="269" spans="1:2">
      <c r="A269" s="1197"/>
      <c r="B269" s="317"/>
    </row>
    <row r="270" spans="1:2">
      <c r="A270" s="1197"/>
      <c r="B270" s="317"/>
    </row>
    <row r="271" spans="1:2">
      <c r="A271" s="1197"/>
      <c r="B271" s="317"/>
    </row>
    <row r="272" spans="1:2">
      <c r="A272" s="1197"/>
      <c r="B272" s="317"/>
    </row>
    <row r="273" spans="1:2">
      <c r="A273" s="1197"/>
      <c r="B273" s="317"/>
    </row>
    <row r="274" spans="1:2">
      <c r="A274" s="1197"/>
      <c r="B274" s="317"/>
    </row>
    <row r="275" spans="1:2">
      <c r="A275" s="1197"/>
      <c r="B275" s="317"/>
    </row>
    <row r="276" spans="1:2">
      <c r="A276" s="1197"/>
      <c r="B276" s="317"/>
    </row>
    <row r="277" spans="1:2">
      <c r="A277" s="1197"/>
      <c r="B277" s="317"/>
    </row>
    <row r="278" spans="1:2">
      <c r="A278" s="1197"/>
      <c r="B278" s="317"/>
    </row>
    <row r="279" spans="1:2">
      <c r="A279" s="1197"/>
      <c r="B279" s="317"/>
    </row>
    <row r="280" spans="1:2">
      <c r="A280" s="1197"/>
      <c r="B280" s="317"/>
    </row>
    <row r="281" spans="1:2">
      <c r="A281" s="1197"/>
      <c r="B281" s="317"/>
    </row>
    <row r="282" spans="1:2">
      <c r="A282" s="1197"/>
      <c r="B282" s="317"/>
    </row>
    <row r="283" spans="1:2">
      <c r="A283" s="1197"/>
      <c r="B283" s="317"/>
    </row>
    <row r="284" spans="1:2">
      <c r="A284" s="1197"/>
      <c r="B284" s="317"/>
    </row>
    <row r="285" spans="1:2">
      <c r="A285" s="1197"/>
      <c r="B285" s="317"/>
    </row>
    <row r="286" spans="1:2">
      <c r="A286" s="1197"/>
      <c r="B286" s="317"/>
    </row>
    <row r="287" spans="1:2">
      <c r="A287" s="1197"/>
      <c r="B287" s="317"/>
    </row>
    <row r="288" spans="1:2">
      <c r="A288" s="1197"/>
      <c r="B288" s="317"/>
    </row>
    <row r="289" spans="1:2">
      <c r="A289" s="1197"/>
      <c r="B289" s="317"/>
    </row>
    <row r="290" spans="1:2">
      <c r="A290" s="1197"/>
      <c r="B290" s="317"/>
    </row>
    <row r="291" spans="1:2">
      <c r="A291" s="1197"/>
      <c r="B291" s="317"/>
    </row>
    <row r="292" spans="1:2">
      <c r="A292" s="1197"/>
      <c r="B292" s="317"/>
    </row>
    <row r="293" spans="1:2">
      <c r="A293" s="1197"/>
      <c r="B293" s="317"/>
    </row>
    <row r="294" spans="1:2">
      <c r="A294" s="1197"/>
      <c r="B294" s="317"/>
    </row>
    <row r="295" spans="1:2">
      <c r="A295" s="1197"/>
      <c r="B295" s="317"/>
    </row>
    <row r="296" spans="1:2">
      <c r="A296" s="1197"/>
      <c r="B296" s="317"/>
    </row>
    <row r="297" spans="1:2">
      <c r="A297" s="1197"/>
      <c r="B297" s="317"/>
    </row>
    <row r="298" spans="1:2">
      <c r="A298" s="1197"/>
      <c r="B298" s="317"/>
    </row>
    <row r="299" spans="1:2">
      <c r="A299" s="1197"/>
      <c r="B299" s="317"/>
    </row>
    <row r="300" spans="1:2">
      <c r="A300" s="1197"/>
      <c r="B300" s="317"/>
    </row>
    <row r="301" spans="1:2">
      <c r="A301" s="1197"/>
      <c r="B301" s="317"/>
    </row>
    <row r="302" spans="1:2">
      <c r="A302" s="1197"/>
      <c r="B302" s="317"/>
    </row>
    <row r="303" spans="1:2">
      <c r="A303" s="1197"/>
      <c r="B303" s="317"/>
    </row>
    <row r="304" spans="1:2">
      <c r="A304" s="1197"/>
      <c r="B304" s="317"/>
    </row>
    <row r="305" spans="1:2">
      <c r="A305" s="1197"/>
      <c r="B305" s="317"/>
    </row>
    <row r="306" spans="1:2">
      <c r="A306" s="1197"/>
      <c r="B306" s="317"/>
    </row>
    <row r="307" spans="1:2">
      <c r="A307" s="1197"/>
      <c r="B307" s="317"/>
    </row>
    <row r="308" spans="1:2">
      <c r="A308" s="1197"/>
      <c r="B308" s="317"/>
    </row>
    <row r="309" spans="1:2">
      <c r="A309" s="1197"/>
      <c r="B309" s="317"/>
    </row>
    <row r="310" spans="1:2">
      <c r="A310" s="1197"/>
      <c r="B310" s="317"/>
    </row>
    <row r="311" spans="1:2">
      <c r="A311" s="1197"/>
      <c r="B311" s="317"/>
    </row>
    <row r="312" spans="1:2">
      <c r="A312" s="1197"/>
      <c r="B312" s="317"/>
    </row>
    <row r="313" spans="1:2">
      <c r="A313" s="1197"/>
      <c r="B313" s="317"/>
    </row>
    <row r="314" spans="1:2">
      <c r="A314" s="1197"/>
      <c r="B314" s="317"/>
    </row>
    <row r="315" spans="1:2">
      <c r="A315" s="1197"/>
      <c r="B315" s="317"/>
    </row>
    <row r="316" spans="1:2">
      <c r="A316" s="1197"/>
      <c r="B316" s="317"/>
    </row>
    <row r="317" spans="1:2">
      <c r="A317" s="1197"/>
      <c r="B317" s="317"/>
    </row>
    <row r="318" spans="1:2">
      <c r="A318" s="1197"/>
      <c r="B318" s="317"/>
    </row>
    <row r="319" spans="1:2">
      <c r="A319" s="1197"/>
      <c r="B319" s="317"/>
    </row>
    <row r="320" spans="1:2">
      <c r="A320" s="1197"/>
      <c r="B320" s="317"/>
    </row>
    <row r="321" spans="1:2">
      <c r="A321" s="1197"/>
      <c r="B321" s="317"/>
    </row>
    <row r="322" spans="1:2">
      <c r="A322" s="1197"/>
      <c r="B322" s="317"/>
    </row>
    <row r="323" spans="1:2">
      <c r="A323" s="1197"/>
      <c r="B323" s="317"/>
    </row>
    <row r="324" spans="1:2">
      <c r="A324" s="1197"/>
      <c r="B324" s="317"/>
    </row>
    <row r="325" spans="1:2">
      <c r="A325" s="1197"/>
      <c r="B325" s="317"/>
    </row>
    <row r="326" spans="1:2">
      <c r="A326" s="1197"/>
      <c r="B326" s="317"/>
    </row>
    <row r="327" spans="1:2">
      <c r="A327" s="1197"/>
      <c r="B327" s="317"/>
    </row>
    <row r="328" spans="1:2">
      <c r="A328" s="1197"/>
      <c r="B328" s="317"/>
    </row>
    <row r="329" spans="1:2">
      <c r="A329" s="1197"/>
      <c r="B329" s="317"/>
    </row>
    <row r="330" spans="1:2">
      <c r="A330" s="1197"/>
      <c r="B330" s="317"/>
    </row>
    <row r="331" spans="1:2">
      <c r="A331" s="1197"/>
      <c r="B331" s="317"/>
    </row>
    <row r="332" spans="1:2">
      <c r="A332" s="1197"/>
      <c r="B332" s="317"/>
    </row>
    <row r="333" spans="1:2">
      <c r="A333" s="1197"/>
      <c r="B333" s="317"/>
    </row>
    <row r="334" spans="1:2">
      <c r="A334" s="1197"/>
      <c r="B334" s="317"/>
    </row>
    <row r="335" spans="1:2">
      <c r="A335" s="1197"/>
      <c r="B335" s="317"/>
    </row>
    <row r="336" spans="1:2">
      <c r="A336" s="1197"/>
      <c r="B336" s="317"/>
    </row>
    <row r="337" spans="1:2">
      <c r="A337" s="1197"/>
      <c r="B337" s="317"/>
    </row>
    <row r="338" spans="1:2">
      <c r="A338" s="1197"/>
      <c r="B338" s="317"/>
    </row>
    <row r="339" spans="1:2">
      <c r="A339" s="1197"/>
      <c r="B339" s="317"/>
    </row>
    <row r="340" spans="1:2">
      <c r="A340" s="1197"/>
      <c r="B340" s="317"/>
    </row>
    <row r="341" spans="1:2">
      <c r="A341" s="1197"/>
      <c r="B341" s="317"/>
    </row>
    <row r="342" spans="1:2">
      <c r="A342" s="1197"/>
      <c r="B342" s="317"/>
    </row>
    <row r="343" spans="1:2">
      <c r="A343" s="1197"/>
      <c r="B343" s="317"/>
    </row>
    <row r="344" spans="1:2">
      <c r="A344" s="1197"/>
      <c r="B344" s="317"/>
    </row>
    <row r="345" spans="1:2">
      <c r="A345" s="1197"/>
      <c r="B345" s="317"/>
    </row>
    <row r="346" spans="1:2">
      <c r="A346" s="1197"/>
      <c r="B346" s="317"/>
    </row>
    <row r="347" spans="1:2">
      <c r="A347" s="1197"/>
      <c r="B347" s="317"/>
    </row>
    <row r="348" spans="1:2">
      <c r="A348" s="1197"/>
      <c r="B348" s="317"/>
    </row>
    <row r="349" spans="1:2">
      <c r="A349" s="1197"/>
      <c r="B349" s="317"/>
    </row>
    <row r="350" spans="1:2">
      <c r="A350" s="1197"/>
      <c r="B350" s="317"/>
    </row>
    <row r="351" spans="1:2">
      <c r="A351" s="1197"/>
      <c r="B351" s="317"/>
    </row>
    <row r="352" spans="1:2">
      <c r="A352" s="1197"/>
      <c r="B352" s="317"/>
    </row>
    <row r="353" spans="1:2">
      <c r="A353" s="1197"/>
      <c r="B353" s="317"/>
    </row>
    <row r="354" spans="1:2">
      <c r="A354" s="1197"/>
      <c r="B354" s="317"/>
    </row>
    <row r="355" spans="1:2">
      <c r="A355" s="1197"/>
      <c r="B355" s="317"/>
    </row>
    <row r="356" spans="1:2">
      <c r="A356" s="1197"/>
      <c r="B356" s="317"/>
    </row>
    <row r="357" spans="1:2">
      <c r="A357" s="1197"/>
      <c r="B357" s="317"/>
    </row>
    <row r="358" spans="1:2">
      <c r="A358" s="1197"/>
      <c r="B358" s="317"/>
    </row>
    <row r="359" spans="1:2">
      <c r="A359" s="1197"/>
      <c r="B359" s="317"/>
    </row>
    <row r="360" spans="1:2">
      <c r="A360" s="1197"/>
      <c r="B360" s="317"/>
    </row>
    <row r="361" spans="1:2">
      <c r="A361" s="1197"/>
      <c r="B361" s="317"/>
    </row>
    <row r="362" spans="1:2">
      <c r="A362" s="1197"/>
      <c r="B362" s="317"/>
    </row>
    <row r="363" spans="1:2">
      <c r="A363" s="1197"/>
      <c r="B363" s="317"/>
    </row>
    <row r="364" spans="1:2">
      <c r="A364" s="1197"/>
      <c r="B364" s="317"/>
    </row>
    <row r="365" spans="1:2">
      <c r="A365" s="1197"/>
      <c r="B365" s="317"/>
    </row>
    <row r="366" spans="1:2">
      <c r="A366" s="1197"/>
      <c r="B366" s="317"/>
    </row>
    <row r="367" spans="1:2">
      <c r="A367" s="1197"/>
      <c r="B367" s="317"/>
    </row>
    <row r="368" spans="1:2">
      <c r="A368" s="1197"/>
      <c r="B368" s="317"/>
    </row>
    <row r="369" spans="1:2">
      <c r="A369" s="1197"/>
      <c r="B369" s="317"/>
    </row>
    <row r="370" spans="1:2">
      <c r="A370" s="1197"/>
      <c r="B370" s="317"/>
    </row>
    <row r="371" spans="1:2">
      <c r="A371" s="1197"/>
      <c r="B371" s="317"/>
    </row>
    <row r="372" spans="1:2">
      <c r="A372" s="1197"/>
      <c r="B372" s="317"/>
    </row>
    <row r="373" spans="1:2">
      <c r="A373" s="1197"/>
      <c r="B373" s="317"/>
    </row>
    <row r="374" spans="1:2">
      <c r="A374" s="1197"/>
      <c r="B374" s="317"/>
    </row>
    <row r="375" spans="1:2">
      <c r="A375" s="1197"/>
      <c r="B375" s="317"/>
    </row>
    <row r="376" spans="1:2">
      <c r="A376" s="1197"/>
      <c r="B376" s="317"/>
    </row>
    <row r="377" spans="1:2">
      <c r="A377" s="1197"/>
      <c r="B377" s="317"/>
    </row>
    <row r="378" spans="1:2">
      <c r="A378" s="1197"/>
      <c r="B378" s="317"/>
    </row>
    <row r="379" spans="1:2">
      <c r="A379" s="1197"/>
      <c r="B379" s="317"/>
    </row>
    <row r="380" spans="1:2">
      <c r="A380" s="1197"/>
      <c r="B380" s="317"/>
    </row>
    <row r="381" spans="1:2">
      <c r="A381" s="1197"/>
      <c r="B381" s="317"/>
    </row>
    <row r="382" spans="1:2">
      <c r="A382" s="1197"/>
      <c r="B382" s="317"/>
    </row>
    <row r="383" spans="1:2">
      <c r="A383" s="1197"/>
      <c r="B383" s="317"/>
    </row>
    <row r="384" spans="1:2">
      <c r="A384" s="1197"/>
      <c r="B384" s="317"/>
    </row>
    <row r="385" spans="1:2">
      <c r="A385" s="1197"/>
      <c r="B385" s="317"/>
    </row>
    <row r="386" spans="1:2">
      <c r="A386" s="1197"/>
      <c r="B386" s="317"/>
    </row>
    <row r="387" spans="1:2">
      <c r="A387" s="1197"/>
      <c r="B387" s="317"/>
    </row>
    <row r="388" spans="1:2">
      <c r="A388" s="1197"/>
      <c r="B388" s="317"/>
    </row>
    <row r="389" spans="1:2">
      <c r="A389" s="1197"/>
      <c r="B389" s="317"/>
    </row>
    <row r="390" spans="1:2">
      <c r="A390" s="1197"/>
      <c r="B390" s="317"/>
    </row>
    <row r="391" spans="1:2">
      <c r="A391" s="1197"/>
      <c r="B391" s="317"/>
    </row>
    <row r="392" spans="1:2">
      <c r="A392" s="1197"/>
      <c r="B392" s="317"/>
    </row>
    <row r="393" spans="1:2">
      <c r="A393" s="1197"/>
      <c r="B393" s="317"/>
    </row>
    <row r="394" spans="1:2">
      <c r="A394" s="1197"/>
      <c r="B394" s="317"/>
    </row>
    <row r="395" spans="1:2">
      <c r="A395" s="1197"/>
      <c r="B395" s="317"/>
    </row>
    <row r="396" spans="1:2">
      <c r="A396" s="1197"/>
      <c r="B396" s="317"/>
    </row>
    <row r="397" spans="1:2">
      <c r="A397" s="1197"/>
      <c r="B397" s="317"/>
    </row>
    <row r="398" spans="1:2">
      <c r="A398" s="1197"/>
      <c r="B398" s="317"/>
    </row>
    <row r="399" spans="1:2">
      <c r="A399" s="1197"/>
      <c r="B399" s="317"/>
    </row>
    <row r="400" spans="1:2">
      <c r="A400" s="1197"/>
      <c r="B400" s="317"/>
    </row>
    <row r="401" spans="1:2">
      <c r="A401" s="1197"/>
      <c r="B401" s="317"/>
    </row>
    <row r="402" spans="1:2">
      <c r="A402" s="1197"/>
      <c r="B402" s="317"/>
    </row>
    <row r="403" spans="1:2">
      <c r="A403" s="1197"/>
      <c r="B403" s="317"/>
    </row>
    <row r="404" spans="1:2">
      <c r="A404" s="1197"/>
      <c r="B404" s="317"/>
    </row>
    <row r="405" spans="1:2">
      <c r="A405" s="1197"/>
      <c r="B405" s="317"/>
    </row>
    <row r="406" spans="1:2">
      <c r="A406" s="1197"/>
      <c r="B406" s="317"/>
    </row>
    <row r="407" spans="1:2">
      <c r="A407" s="1197"/>
      <c r="B407" s="317"/>
    </row>
    <row r="408" spans="1:2">
      <c r="A408" s="1197"/>
      <c r="B408" s="317"/>
    </row>
    <row r="409" spans="1:2">
      <c r="A409" s="1197"/>
      <c r="B409" s="317"/>
    </row>
    <row r="410" spans="1:2">
      <c r="A410" s="1197"/>
      <c r="B410" s="317"/>
    </row>
    <row r="411" spans="1:2">
      <c r="A411" s="1197"/>
      <c r="B411" s="317"/>
    </row>
    <row r="412" spans="1:2">
      <c r="A412" s="1197"/>
      <c r="B412" s="317"/>
    </row>
    <row r="413" spans="1:2">
      <c r="A413" s="1197"/>
      <c r="B413" s="317"/>
    </row>
    <row r="414" spans="1:2">
      <c r="A414" s="1197"/>
      <c r="B414" s="317"/>
    </row>
    <row r="415" spans="1:2">
      <c r="A415" s="1197"/>
      <c r="B415" s="317"/>
    </row>
    <row r="416" spans="1:2">
      <c r="A416" s="1197"/>
      <c r="B416" s="317"/>
    </row>
    <row r="417" spans="1:2">
      <c r="A417" s="1197"/>
      <c r="B417" s="317"/>
    </row>
    <row r="418" spans="1:2">
      <c r="A418" s="1197"/>
      <c r="B418" s="317"/>
    </row>
    <row r="419" spans="1:2">
      <c r="A419" s="1197"/>
      <c r="B419" s="317"/>
    </row>
    <row r="420" spans="1:2">
      <c r="A420" s="1197"/>
      <c r="B420" s="317"/>
    </row>
    <row r="421" spans="1:2">
      <c r="A421" s="1197"/>
      <c r="B421" s="317"/>
    </row>
    <row r="422" spans="1:2">
      <c r="A422" s="1197"/>
      <c r="B422" s="317"/>
    </row>
    <row r="423" spans="1:2">
      <c r="A423" s="1197"/>
      <c r="B423" s="317"/>
    </row>
    <row r="424" spans="1:2">
      <c r="A424" s="1197"/>
      <c r="B424" s="317"/>
    </row>
    <row r="425" spans="1:2">
      <c r="A425" s="1197"/>
      <c r="B425" s="317"/>
    </row>
    <row r="426" spans="1:2">
      <c r="A426" s="1197"/>
      <c r="B426" s="317"/>
    </row>
    <row r="427" spans="1:2">
      <c r="A427" s="1197"/>
      <c r="B427" s="317"/>
    </row>
    <row r="428" spans="1:2">
      <c r="A428" s="1197"/>
      <c r="B428" s="317"/>
    </row>
    <row r="429" spans="1:2">
      <c r="A429" s="1197"/>
      <c r="B429" s="317"/>
    </row>
    <row r="430" spans="1:2">
      <c r="A430" s="1197"/>
      <c r="B430" s="317"/>
    </row>
    <row r="431" spans="1:2">
      <c r="A431" s="1197"/>
      <c r="B431" s="317"/>
    </row>
    <row r="432" spans="1:2">
      <c r="A432" s="1197"/>
      <c r="B432" s="317"/>
    </row>
    <row r="433" spans="1:2">
      <c r="A433" s="1197"/>
      <c r="B433" s="317"/>
    </row>
    <row r="434" spans="1:2">
      <c r="A434" s="1197"/>
      <c r="B434" s="317"/>
    </row>
    <row r="435" spans="1:2">
      <c r="A435" s="1197"/>
      <c r="B435" s="317"/>
    </row>
    <row r="436" spans="1:2">
      <c r="A436" s="1197"/>
      <c r="B436" s="317"/>
    </row>
    <row r="437" spans="1:2">
      <c r="A437" s="1197"/>
      <c r="B437" s="317"/>
    </row>
    <row r="438" spans="1:2">
      <c r="A438" s="1197"/>
      <c r="B438" s="317"/>
    </row>
    <row r="439" spans="1:2">
      <c r="A439" s="1197"/>
      <c r="B439" s="317"/>
    </row>
    <row r="440" spans="1:2">
      <c r="A440" s="1197"/>
      <c r="B440" s="317"/>
    </row>
    <row r="441" spans="1:2">
      <c r="A441" s="1197"/>
      <c r="B441" s="317"/>
    </row>
    <row r="442" spans="1:2">
      <c r="A442" s="1197"/>
      <c r="B442" s="317"/>
    </row>
    <row r="443" spans="1:2">
      <c r="A443" s="1197"/>
      <c r="B443" s="317"/>
    </row>
    <row r="444" spans="1:2">
      <c r="A444" s="1197"/>
      <c r="B444" s="317"/>
    </row>
    <row r="445" spans="1:2">
      <c r="A445" s="1197"/>
      <c r="B445" s="317"/>
    </row>
    <row r="446" spans="1:2">
      <c r="A446" s="1197"/>
      <c r="B446" s="317"/>
    </row>
    <row r="447" spans="1:2">
      <c r="A447" s="1197"/>
      <c r="B447" s="317"/>
    </row>
    <row r="448" spans="1:2">
      <c r="A448" s="1197"/>
      <c r="B448" s="317"/>
    </row>
    <row r="449" spans="1:2">
      <c r="A449" s="1197"/>
      <c r="B449" s="317"/>
    </row>
    <row r="450" spans="1:2">
      <c r="A450" s="1197"/>
      <c r="B450" s="317"/>
    </row>
    <row r="451" spans="1:2">
      <c r="A451" s="1197"/>
      <c r="B451" s="317"/>
    </row>
    <row r="452" spans="1:2">
      <c r="A452" s="1197"/>
      <c r="B452" s="317"/>
    </row>
    <row r="453" spans="1:2">
      <c r="A453" s="1197"/>
      <c r="B453" s="317"/>
    </row>
    <row r="454" spans="1:2">
      <c r="A454" s="1197"/>
      <c r="B454" s="317"/>
    </row>
    <row r="455" spans="1:2">
      <c r="A455" s="1197"/>
      <c r="B455" s="317"/>
    </row>
    <row r="456" spans="1:2">
      <c r="A456" s="1197"/>
      <c r="B456" s="317"/>
    </row>
    <row r="457" spans="1:2">
      <c r="A457" s="1197"/>
      <c r="B457" s="317"/>
    </row>
    <row r="458" spans="1:2">
      <c r="A458" s="1197"/>
      <c r="B458" s="317"/>
    </row>
    <row r="459" spans="1:2">
      <c r="A459" s="1197"/>
      <c r="B459" s="317"/>
    </row>
    <row r="460" spans="1:2">
      <c r="A460" s="1197"/>
      <c r="B460" s="317"/>
    </row>
    <row r="461" spans="1:2">
      <c r="A461" s="1197"/>
      <c r="B461" s="317"/>
    </row>
    <row r="462" spans="1:2">
      <c r="A462" s="1197"/>
      <c r="B462" s="317"/>
    </row>
    <row r="463" spans="1:2">
      <c r="A463" s="1197"/>
      <c r="B463" s="317"/>
    </row>
    <row r="464" spans="1:2">
      <c r="A464" s="1197"/>
      <c r="B464" s="317"/>
    </row>
    <row r="465" spans="1:2">
      <c r="A465" s="1197"/>
      <c r="B465" s="317"/>
    </row>
    <row r="466" spans="1:2">
      <c r="A466" s="1197"/>
      <c r="B466" s="317"/>
    </row>
    <row r="467" spans="1:2">
      <c r="A467" s="1197"/>
      <c r="B467" s="317"/>
    </row>
    <row r="468" spans="1:2">
      <c r="A468" s="1197"/>
      <c r="B468" s="317"/>
    </row>
    <row r="469" spans="1:2">
      <c r="A469" s="1197"/>
      <c r="B469" s="317"/>
    </row>
    <row r="470" spans="1:2">
      <c r="A470" s="1197"/>
      <c r="B470" s="317"/>
    </row>
    <row r="471" spans="1:2">
      <c r="A471" s="1197"/>
      <c r="B471" s="317"/>
    </row>
    <row r="472" spans="1:2">
      <c r="A472" s="1197"/>
      <c r="B472" s="317"/>
    </row>
    <row r="473" spans="1:2">
      <c r="A473" s="1197"/>
      <c r="B473" s="317"/>
    </row>
    <row r="474" spans="1:2">
      <c r="A474" s="1197"/>
      <c r="B474" s="317"/>
    </row>
    <row r="475" spans="1:2">
      <c r="A475" s="1197"/>
      <c r="B475" s="317"/>
    </row>
    <row r="476" spans="1:2">
      <c r="A476" s="1197"/>
      <c r="B476" s="317"/>
    </row>
    <row r="477" spans="1:2">
      <c r="A477" s="1197"/>
      <c r="B477" s="317"/>
    </row>
    <row r="478" spans="1:2">
      <c r="A478" s="1197"/>
      <c r="B478" s="317"/>
    </row>
    <row r="479" spans="1:2">
      <c r="A479" s="1197"/>
      <c r="B479" s="317"/>
    </row>
    <row r="480" spans="1:2">
      <c r="A480" s="1197"/>
      <c r="B480" s="317"/>
    </row>
    <row r="481" spans="1:2">
      <c r="A481" s="1197"/>
      <c r="B481" s="317"/>
    </row>
    <row r="482" spans="1:2">
      <c r="A482" s="1197"/>
      <c r="B482" s="317"/>
    </row>
    <row r="483" spans="1:2">
      <c r="A483" s="1197"/>
      <c r="B483" s="317"/>
    </row>
    <row r="484" spans="1:2">
      <c r="A484" s="1197"/>
      <c r="B484" s="317"/>
    </row>
    <row r="485" spans="1:2">
      <c r="A485" s="1197"/>
      <c r="B485" s="317"/>
    </row>
    <row r="486" spans="1:2">
      <c r="A486" s="1197"/>
      <c r="B486" s="317"/>
    </row>
    <row r="487" spans="1:2">
      <c r="A487" s="1197"/>
      <c r="B487" s="317"/>
    </row>
    <row r="488" spans="1:2">
      <c r="A488" s="1197"/>
      <c r="B488" s="317"/>
    </row>
    <row r="489" spans="1:2">
      <c r="A489" s="1197"/>
      <c r="B489" s="317"/>
    </row>
    <row r="490" spans="1:2">
      <c r="A490" s="1197"/>
      <c r="B490" s="317"/>
    </row>
    <row r="491" spans="1:2">
      <c r="A491" s="1197"/>
      <c r="B491" s="317"/>
    </row>
    <row r="492" spans="1:2">
      <c r="A492" s="1197"/>
      <c r="B492" s="317"/>
    </row>
    <row r="493" spans="1:2">
      <c r="A493" s="1197"/>
      <c r="B493" s="317"/>
    </row>
    <row r="494" spans="1:2">
      <c r="A494" s="1197"/>
      <c r="B494" s="317"/>
    </row>
    <row r="495" spans="1:2">
      <c r="A495" s="1197"/>
      <c r="B495" s="317"/>
    </row>
    <row r="496" spans="1:2">
      <c r="A496" s="1197"/>
      <c r="B496" s="317"/>
    </row>
    <row r="497" spans="1:2">
      <c r="A497" s="1197"/>
      <c r="B497" s="317"/>
    </row>
    <row r="498" spans="1:2">
      <c r="A498" s="1197"/>
      <c r="B498" s="317"/>
    </row>
    <row r="499" spans="1:2">
      <c r="A499" s="1197"/>
      <c r="B499" s="317"/>
    </row>
    <row r="500" spans="1:2">
      <c r="A500" s="1197"/>
      <c r="B500" s="317"/>
    </row>
    <row r="501" spans="1:2">
      <c r="A501" s="1197"/>
      <c r="B501" s="317"/>
    </row>
    <row r="502" spans="1:2">
      <c r="A502" s="1197"/>
      <c r="B502" s="317"/>
    </row>
    <row r="503" spans="1:2">
      <c r="A503" s="1197"/>
      <c r="B503" s="317"/>
    </row>
    <row r="504" spans="1:2">
      <c r="A504" s="1197"/>
      <c r="B504" s="317"/>
    </row>
    <row r="505" spans="1:2">
      <c r="A505" s="1197"/>
      <c r="B505" s="317"/>
    </row>
    <row r="506" spans="1:2">
      <c r="A506" s="1197"/>
      <c r="B506" s="317"/>
    </row>
    <row r="507" spans="1:2">
      <c r="A507" s="1197"/>
      <c r="B507" s="317"/>
    </row>
    <row r="508" spans="1:2">
      <c r="A508" s="1197"/>
      <c r="B508" s="317"/>
    </row>
    <row r="509" spans="1:2">
      <c r="A509" s="1197"/>
      <c r="B509" s="317"/>
    </row>
    <row r="510" spans="1:2">
      <c r="A510" s="1197"/>
      <c r="B510" s="317"/>
    </row>
    <row r="511" spans="1:2">
      <c r="A511" s="1197"/>
      <c r="B511" s="317"/>
    </row>
    <row r="512" spans="1:2">
      <c r="A512" s="1197"/>
      <c r="B512" s="317"/>
    </row>
    <row r="513" spans="1:2">
      <c r="A513" s="1197"/>
      <c r="B513" s="317"/>
    </row>
    <row r="514" spans="1:2">
      <c r="A514" s="1197"/>
      <c r="B514" s="317"/>
    </row>
    <row r="515" spans="1:2">
      <c r="A515" s="1197"/>
      <c r="B515" s="317"/>
    </row>
    <row r="516" spans="1:2">
      <c r="A516" s="1197"/>
      <c r="B516" s="317"/>
    </row>
    <row r="517" spans="1:2">
      <c r="A517" s="1197"/>
      <c r="B517" s="317"/>
    </row>
    <row r="518" spans="1:2">
      <c r="A518" s="1197"/>
      <c r="B518" s="317"/>
    </row>
    <row r="519" spans="1:2">
      <c r="A519" s="1197"/>
      <c r="B519" s="317"/>
    </row>
    <row r="520" spans="1:2">
      <c r="A520" s="1197"/>
      <c r="B520" s="317"/>
    </row>
    <row r="521" spans="1:2">
      <c r="A521" s="1197"/>
      <c r="B521" s="317"/>
    </row>
    <row r="522" spans="1:2">
      <c r="A522" s="1197"/>
      <c r="B522" s="317"/>
    </row>
    <row r="523" spans="1:2">
      <c r="A523" s="1197"/>
      <c r="B523" s="317"/>
    </row>
    <row r="524" spans="1:2">
      <c r="A524" s="1197"/>
      <c r="B524" s="317"/>
    </row>
    <row r="525" spans="1:2">
      <c r="A525" s="1197"/>
      <c r="B525" s="317"/>
    </row>
    <row r="526" spans="1:2">
      <c r="A526" s="1197"/>
      <c r="B526" s="317"/>
    </row>
    <row r="527" spans="1:2">
      <c r="A527" s="1197"/>
      <c r="B527" s="317"/>
    </row>
    <row r="528" spans="1:2">
      <c r="A528" s="1197"/>
      <c r="B528" s="317"/>
    </row>
    <row r="529" spans="1:2">
      <c r="A529" s="1197"/>
      <c r="B529" s="317"/>
    </row>
    <row r="530" spans="1:2">
      <c r="A530" s="1197"/>
      <c r="B530" s="317"/>
    </row>
    <row r="531" spans="1:2">
      <c r="A531" s="1197"/>
      <c r="B531" s="317"/>
    </row>
    <row r="532" spans="1:2">
      <c r="A532" s="1197"/>
      <c r="B532" s="317"/>
    </row>
    <row r="533" spans="1:2">
      <c r="A533" s="1197"/>
      <c r="B533" s="317"/>
    </row>
    <row r="534" spans="1:2">
      <c r="A534" s="1197"/>
      <c r="B534" s="317"/>
    </row>
    <row r="535" spans="1:2">
      <c r="A535" s="1197"/>
      <c r="B535" s="317"/>
    </row>
    <row r="536" spans="1:2">
      <c r="A536" s="1197"/>
      <c r="B536" s="317"/>
    </row>
    <row r="537" spans="1:2">
      <c r="A537" s="1197"/>
      <c r="B537" s="317"/>
    </row>
    <row r="538" spans="1:2">
      <c r="A538" s="1197"/>
      <c r="B538" s="317"/>
    </row>
    <row r="539" spans="1:2">
      <c r="A539" s="1197"/>
      <c r="B539" s="317"/>
    </row>
    <row r="540" spans="1:2">
      <c r="A540" s="1197"/>
      <c r="B540" s="317"/>
    </row>
    <row r="541" spans="1:2">
      <c r="A541" s="1197"/>
      <c r="B541" s="317"/>
    </row>
    <row r="542" spans="1:2">
      <c r="A542" s="1197"/>
      <c r="B542" s="317"/>
    </row>
    <row r="543" spans="1:2">
      <c r="A543" s="1197"/>
      <c r="B543" s="317"/>
    </row>
    <row r="544" spans="1:2">
      <c r="A544" s="1197"/>
      <c r="B544" s="317"/>
    </row>
    <row r="545" spans="1:2">
      <c r="A545" s="1197"/>
      <c r="B545" s="317"/>
    </row>
    <row r="546" spans="1:2">
      <c r="A546" s="1197"/>
      <c r="B546" s="317"/>
    </row>
    <row r="547" spans="1:2">
      <c r="A547" s="1197"/>
      <c r="B547" s="317"/>
    </row>
    <row r="548" spans="1:2">
      <c r="A548" s="1197"/>
      <c r="B548" s="317"/>
    </row>
    <row r="549" spans="1:2">
      <c r="A549" s="1197"/>
      <c r="B549" s="317"/>
    </row>
    <row r="550" spans="1:2">
      <c r="A550" s="1197"/>
      <c r="B550" s="317"/>
    </row>
    <row r="551" spans="1:2">
      <c r="A551" s="1197"/>
      <c r="B551" s="317"/>
    </row>
    <row r="552" spans="1:2">
      <c r="A552" s="1197"/>
      <c r="B552" s="317"/>
    </row>
    <row r="553" spans="1:2">
      <c r="A553" s="1197"/>
      <c r="B553" s="317"/>
    </row>
    <row r="554" spans="1:2">
      <c r="A554" s="1197"/>
      <c r="B554" s="317"/>
    </row>
    <row r="555" spans="1:2">
      <c r="A555" s="1197"/>
      <c r="B555" s="317"/>
    </row>
    <row r="556" spans="1:2">
      <c r="A556" s="1197"/>
      <c r="B556" s="317"/>
    </row>
    <row r="557" spans="1:2">
      <c r="A557" s="1197"/>
      <c r="B557" s="317"/>
    </row>
    <row r="558" spans="1:2">
      <c r="A558" s="1197"/>
      <c r="B558" s="317"/>
    </row>
    <row r="559" spans="1:2">
      <c r="A559" s="1197"/>
      <c r="B559" s="317"/>
    </row>
    <row r="560" spans="1:2">
      <c r="A560" s="1197"/>
      <c r="B560" s="317"/>
    </row>
    <row r="561" spans="1:2">
      <c r="A561" s="1197"/>
      <c r="B561" s="317"/>
    </row>
    <row r="562" spans="1:2">
      <c r="A562" s="1197"/>
      <c r="B562" s="317"/>
    </row>
    <row r="563" spans="1:2">
      <c r="A563" s="1197"/>
      <c r="B563" s="317"/>
    </row>
    <row r="564" spans="1:2">
      <c r="A564" s="1197"/>
      <c r="B564" s="317"/>
    </row>
    <row r="565" spans="1:2">
      <c r="A565" s="1197"/>
      <c r="B565" s="317"/>
    </row>
    <row r="566" spans="1:2">
      <c r="A566" s="1197"/>
      <c r="B566" s="317"/>
    </row>
    <row r="567" spans="1:2">
      <c r="A567" s="1197"/>
      <c r="B567" s="317"/>
    </row>
    <row r="568" spans="1:2">
      <c r="A568" s="1197"/>
      <c r="B568" s="317"/>
    </row>
    <row r="569" spans="1:2">
      <c r="A569" s="1197"/>
      <c r="B569" s="317"/>
    </row>
    <row r="570" spans="1:2">
      <c r="A570" s="1197"/>
      <c r="B570" s="317"/>
    </row>
    <row r="571" spans="1:2">
      <c r="A571" s="1197"/>
      <c r="B571" s="317"/>
    </row>
    <row r="572" spans="1:2">
      <c r="A572" s="1197"/>
      <c r="B572" s="317"/>
    </row>
    <row r="573" spans="1:2">
      <c r="A573" s="1197"/>
      <c r="B573" s="317"/>
    </row>
    <row r="574" spans="1:2">
      <c r="A574" s="1197"/>
      <c r="B574" s="317"/>
    </row>
    <row r="575" spans="1:2">
      <c r="A575" s="1197"/>
      <c r="B575" s="317"/>
    </row>
    <row r="576" spans="1:2">
      <c r="A576" s="1197"/>
      <c r="B576" s="317"/>
    </row>
    <row r="577" spans="1:2">
      <c r="A577" s="1197"/>
      <c r="B577" s="317"/>
    </row>
    <row r="578" spans="1:2">
      <c r="A578" s="1197"/>
      <c r="B578" s="317"/>
    </row>
    <row r="579" spans="1:2">
      <c r="A579" s="1197"/>
      <c r="B579" s="317"/>
    </row>
    <row r="580" spans="1:2">
      <c r="A580" s="1197"/>
      <c r="B580" s="317"/>
    </row>
    <row r="581" spans="1:2">
      <c r="A581" s="1197"/>
      <c r="B581" s="317"/>
    </row>
    <row r="582" spans="1:2">
      <c r="A582" s="1197"/>
      <c r="B582" s="317"/>
    </row>
    <row r="583" spans="1:2">
      <c r="A583" s="1197"/>
      <c r="B583" s="317"/>
    </row>
    <row r="584" spans="1:2">
      <c r="A584" s="1197"/>
      <c r="B584" s="317"/>
    </row>
    <row r="585" spans="1:2">
      <c r="A585" s="1197"/>
      <c r="B585" s="317"/>
    </row>
    <row r="586" spans="1:2">
      <c r="A586" s="1197"/>
      <c r="B586" s="317"/>
    </row>
    <row r="587" spans="1:2">
      <c r="A587" s="1197"/>
      <c r="B587" s="317"/>
    </row>
    <row r="588" spans="1:2">
      <c r="A588" s="1197"/>
      <c r="B588" s="317"/>
    </row>
    <row r="589" spans="1:2">
      <c r="A589" s="1197"/>
      <c r="B589" s="317"/>
    </row>
    <row r="590" spans="1:2">
      <c r="A590" s="1197"/>
      <c r="B590" s="317"/>
    </row>
    <row r="591" spans="1:2">
      <c r="A591" s="1197"/>
      <c r="B591" s="317"/>
    </row>
    <row r="592" spans="1:2">
      <c r="A592" s="1197"/>
      <c r="B592" s="317"/>
    </row>
    <row r="593" spans="1:2">
      <c r="A593" s="1197"/>
      <c r="B593" s="317"/>
    </row>
    <row r="594" spans="1:2">
      <c r="A594" s="1197"/>
      <c r="B594" s="317"/>
    </row>
    <row r="595" spans="1:2">
      <c r="A595" s="1197"/>
      <c r="B595" s="317"/>
    </row>
    <row r="596" spans="1:2">
      <c r="A596" s="1197"/>
      <c r="B596" s="317"/>
    </row>
    <row r="597" spans="1:2">
      <c r="A597" s="1197"/>
      <c r="B597" s="317"/>
    </row>
    <row r="598" spans="1:2">
      <c r="A598" s="1197"/>
      <c r="B598" s="317"/>
    </row>
    <row r="599" spans="1:2">
      <c r="A599" s="1197"/>
      <c r="B599" s="317"/>
    </row>
    <row r="600" spans="1:2">
      <c r="A600" s="1197"/>
      <c r="B600" s="317"/>
    </row>
    <row r="601" spans="1:2">
      <c r="A601" s="1197"/>
      <c r="B601" s="317"/>
    </row>
    <row r="602" spans="1:2">
      <c r="A602" s="1197"/>
      <c r="B602" s="317"/>
    </row>
    <row r="603" spans="1:2">
      <c r="A603" s="1197"/>
      <c r="B603" s="317"/>
    </row>
    <row r="604" spans="1:2">
      <c r="A604" s="1197"/>
      <c r="B604" s="317"/>
    </row>
    <row r="605" spans="1:2">
      <c r="A605" s="1197"/>
      <c r="B605" s="317"/>
    </row>
    <row r="606" spans="1:2">
      <c r="A606" s="1197"/>
      <c r="B606" s="317"/>
    </row>
    <row r="607" spans="1:2">
      <c r="A607" s="1197"/>
      <c r="B607" s="317"/>
    </row>
    <row r="608" spans="1:2">
      <c r="A608" s="1197"/>
      <c r="B608" s="317"/>
    </row>
    <row r="609" spans="1:2">
      <c r="A609" s="1197"/>
      <c r="B609" s="317"/>
    </row>
    <row r="610" spans="1:2">
      <c r="A610" s="1197"/>
      <c r="B610" s="317"/>
    </row>
    <row r="611" spans="1:2">
      <c r="A611" s="1197"/>
      <c r="B611" s="317"/>
    </row>
    <row r="612" spans="1:2">
      <c r="A612" s="1197"/>
      <c r="B612" s="317"/>
    </row>
    <row r="613" spans="1:2">
      <c r="A613" s="1197"/>
      <c r="B613" s="317"/>
    </row>
    <row r="614" spans="1:2">
      <c r="A614" s="1197"/>
      <c r="B614" s="317"/>
    </row>
    <row r="615" spans="1:2">
      <c r="A615" s="1197"/>
      <c r="B615" s="317"/>
    </row>
    <row r="616" spans="1:2">
      <c r="A616" s="1197"/>
      <c r="B616" s="317"/>
    </row>
    <row r="617" spans="1:2">
      <c r="A617" s="1197"/>
      <c r="B617" s="317"/>
    </row>
    <row r="618" spans="1:2">
      <c r="A618" s="1197"/>
      <c r="B618" s="317"/>
    </row>
    <row r="619" spans="1:2">
      <c r="A619" s="1197"/>
      <c r="B619" s="317"/>
    </row>
    <row r="620" spans="1:2">
      <c r="A620" s="1197"/>
      <c r="B620" s="317"/>
    </row>
    <row r="621" spans="1:2">
      <c r="A621" s="1197"/>
      <c r="B621" s="317"/>
    </row>
    <row r="622" spans="1:2">
      <c r="A622" s="1197"/>
      <c r="B622" s="317"/>
    </row>
    <row r="623" spans="1:2">
      <c r="A623" s="1197"/>
      <c r="B623" s="317"/>
    </row>
    <row r="624" spans="1:2">
      <c r="A624" s="1197"/>
      <c r="B624" s="317"/>
    </row>
    <row r="625" spans="1:2">
      <c r="A625" s="1197"/>
      <c r="B625" s="317"/>
    </row>
    <row r="626" spans="1:2">
      <c r="A626" s="1197"/>
      <c r="B626" s="317"/>
    </row>
    <row r="627" spans="1:2">
      <c r="A627" s="1197"/>
      <c r="B627" s="317"/>
    </row>
    <row r="628" spans="1:2">
      <c r="A628" s="1197"/>
      <c r="B628" s="317"/>
    </row>
    <row r="629" spans="1:2">
      <c r="A629" s="1197"/>
      <c r="B629" s="317"/>
    </row>
    <row r="630" spans="1:2">
      <c r="A630" s="1197"/>
      <c r="B630" s="317"/>
    </row>
    <row r="631" spans="1:2">
      <c r="A631" s="1197"/>
      <c r="B631" s="317"/>
    </row>
    <row r="632" spans="1:2">
      <c r="A632" s="1197"/>
      <c r="B632" s="317"/>
    </row>
    <row r="633" spans="1:2">
      <c r="A633" s="1197"/>
      <c r="B633" s="317"/>
    </row>
    <row r="634" spans="1:2">
      <c r="A634" s="1197"/>
      <c r="B634" s="317"/>
    </row>
    <row r="635" spans="1:2">
      <c r="A635" s="1197"/>
      <c r="B635" s="317"/>
    </row>
    <row r="636" spans="1:2">
      <c r="A636" s="1197"/>
      <c r="B636" s="317"/>
    </row>
    <row r="637" spans="1:2">
      <c r="A637" s="1197"/>
      <c r="B637" s="317"/>
    </row>
    <row r="638" spans="1:2">
      <c r="A638" s="1197"/>
      <c r="B638" s="317"/>
    </row>
    <row r="639" spans="1:2">
      <c r="A639" s="1197"/>
      <c r="B639" s="317"/>
    </row>
    <row r="640" spans="1:2">
      <c r="A640" s="1197"/>
      <c r="B640" s="317"/>
    </row>
    <row r="641" spans="1:2">
      <c r="A641" s="1197"/>
      <c r="B641" s="317"/>
    </row>
    <row r="642" spans="1:2">
      <c r="A642" s="1197"/>
      <c r="B642" s="317"/>
    </row>
    <row r="643" spans="1:2">
      <c r="A643" s="1197"/>
      <c r="B643" s="317"/>
    </row>
    <row r="644" spans="1:2">
      <c r="A644" s="1197"/>
      <c r="B644" s="317"/>
    </row>
    <row r="645" spans="1:2">
      <c r="A645" s="1197"/>
      <c r="B645" s="317"/>
    </row>
    <row r="646" spans="1:2">
      <c r="A646" s="1197"/>
      <c r="B646" s="317"/>
    </row>
    <row r="647" spans="1:2">
      <c r="A647" s="1197"/>
      <c r="B647" s="317"/>
    </row>
    <row r="648" spans="1:2">
      <c r="A648" s="1197"/>
      <c r="B648" s="317"/>
    </row>
    <row r="649" spans="1:2">
      <c r="A649" s="1197"/>
      <c r="B649" s="317"/>
    </row>
    <row r="650" spans="1:2">
      <c r="A650" s="1197"/>
      <c r="B650" s="317"/>
    </row>
    <row r="651" spans="1:2">
      <c r="A651" s="1197"/>
      <c r="B651" s="317"/>
    </row>
    <row r="652" spans="1:2">
      <c r="A652" s="1197"/>
      <c r="B652" s="317"/>
    </row>
    <row r="653" spans="1:2">
      <c r="A653" s="1197"/>
      <c r="B653" s="317"/>
    </row>
    <row r="654" spans="1:2">
      <c r="A654" s="1197"/>
      <c r="B654" s="317"/>
    </row>
    <row r="655" spans="1:2">
      <c r="A655" s="1197"/>
      <c r="B655" s="317"/>
    </row>
    <row r="656" spans="1:2">
      <c r="A656" s="1197"/>
      <c r="B656" s="317"/>
    </row>
    <row r="657" spans="1:2">
      <c r="A657" s="1197"/>
      <c r="B657" s="317"/>
    </row>
    <row r="658" spans="1:2">
      <c r="A658" s="1197"/>
      <c r="B658" s="317"/>
    </row>
    <row r="659" spans="1:2">
      <c r="A659" s="1197"/>
      <c r="B659" s="317"/>
    </row>
    <row r="660" spans="1:2">
      <c r="A660" s="1197"/>
      <c r="B660" s="317"/>
    </row>
    <row r="661" spans="1:2">
      <c r="A661" s="1197"/>
      <c r="B661" s="317"/>
    </row>
    <row r="662" spans="1:2">
      <c r="A662" s="1197"/>
      <c r="B662" s="317"/>
    </row>
    <row r="663" spans="1:2">
      <c r="A663" s="1197"/>
      <c r="B663" s="317"/>
    </row>
    <row r="664" spans="1:2">
      <c r="A664" s="1197"/>
      <c r="B664" s="317"/>
    </row>
    <row r="665" spans="1:2">
      <c r="A665" s="1197"/>
      <c r="B665" s="317"/>
    </row>
    <row r="666" spans="1:2">
      <c r="A666" s="1197"/>
      <c r="B666" s="317"/>
    </row>
    <row r="667" spans="1:2">
      <c r="A667" s="1197"/>
      <c r="B667" s="317"/>
    </row>
    <row r="668" spans="1:2">
      <c r="A668" s="1197"/>
      <c r="B668" s="317"/>
    </row>
    <row r="669" spans="1:2">
      <c r="A669" s="1197"/>
      <c r="B669" s="317"/>
    </row>
    <row r="670" spans="1:2">
      <c r="A670" s="1197"/>
      <c r="B670" s="317"/>
    </row>
    <row r="671" spans="1:2">
      <c r="A671" s="1197"/>
      <c r="B671" s="317"/>
    </row>
    <row r="672" spans="1:2">
      <c r="A672" s="1197"/>
      <c r="B672" s="317"/>
    </row>
    <row r="673" spans="1:2">
      <c r="A673" s="1197"/>
      <c r="B673" s="317"/>
    </row>
    <row r="674" spans="1:2">
      <c r="A674" s="1197"/>
      <c r="B674" s="317"/>
    </row>
    <row r="675" spans="1:2">
      <c r="A675" s="1197"/>
      <c r="B675" s="317"/>
    </row>
    <row r="676" spans="1:2">
      <c r="A676" s="1197"/>
      <c r="B676" s="317"/>
    </row>
    <row r="677" spans="1:2">
      <c r="A677" s="1197"/>
      <c r="B677" s="317"/>
    </row>
    <row r="678" spans="1:2">
      <c r="A678" s="1197"/>
      <c r="B678" s="317"/>
    </row>
    <row r="679" spans="1:2">
      <c r="A679" s="1197"/>
      <c r="B679" s="317"/>
    </row>
    <row r="680" spans="1:2">
      <c r="A680" s="1197"/>
      <c r="B680" s="317"/>
    </row>
    <row r="681" spans="1:2">
      <c r="A681" s="1197"/>
      <c r="B681" s="317"/>
    </row>
    <row r="682" spans="1:2">
      <c r="A682" s="1197"/>
      <c r="B682" s="317"/>
    </row>
    <row r="683" spans="1:2">
      <c r="A683" s="1197"/>
      <c r="B683" s="317"/>
    </row>
    <row r="684" spans="1:2">
      <c r="A684" s="1197"/>
      <c r="B684" s="317"/>
    </row>
    <row r="685" spans="1:2">
      <c r="A685" s="1197"/>
      <c r="B685" s="317"/>
    </row>
    <row r="686" spans="1:2">
      <c r="A686" s="1197"/>
      <c r="B686" s="317"/>
    </row>
    <row r="687" spans="1:2">
      <c r="A687" s="1197"/>
      <c r="B687" s="317"/>
    </row>
    <row r="688" spans="1:2">
      <c r="A688" s="1197"/>
      <c r="B688" s="317"/>
    </row>
    <row r="689" spans="1:2">
      <c r="A689" s="1197"/>
      <c r="B689" s="317"/>
    </row>
    <row r="690" spans="1:2">
      <c r="A690" s="1197"/>
      <c r="B690" s="317"/>
    </row>
    <row r="691" spans="1:2">
      <c r="A691" s="1197"/>
      <c r="B691" s="317"/>
    </row>
    <row r="692" spans="1:2">
      <c r="A692" s="1197"/>
      <c r="B692" s="317"/>
    </row>
    <row r="693" spans="1:2">
      <c r="A693" s="1197"/>
      <c r="B693" s="317"/>
    </row>
    <row r="694" spans="1:2">
      <c r="A694" s="1197"/>
      <c r="B694" s="317"/>
    </row>
    <row r="695" spans="1:2">
      <c r="A695" s="1197"/>
      <c r="B695" s="317"/>
    </row>
    <row r="696" spans="1:2">
      <c r="A696" s="1197"/>
      <c r="B696" s="317"/>
    </row>
    <row r="697" spans="1:2">
      <c r="A697" s="1197"/>
      <c r="B697" s="317"/>
    </row>
    <row r="698" spans="1:2">
      <c r="A698" s="1197"/>
      <c r="B698" s="317"/>
    </row>
    <row r="699" spans="1:2">
      <c r="A699" s="1197"/>
      <c r="B699" s="317"/>
    </row>
    <row r="700" spans="1:2">
      <c r="A700" s="1197"/>
      <c r="B700" s="317"/>
    </row>
    <row r="701" spans="1:2">
      <c r="A701" s="1197"/>
      <c r="B701" s="317"/>
    </row>
    <row r="702" spans="1:2">
      <c r="A702" s="1197"/>
      <c r="B702" s="317"/>
    </row>
    <row r="703" spans="1:2">
      <c r="A703" s="1197"/>
      <c r="B703" s="317"/>
    </row>
    <row r="704" spans="1:2">
      <c r="A704" s="1197"/>
      <c r="B704" s="317"/>
    </row>
    <row r="705" spans="1:2">
      <c r="A705" s="1197"/>
      <c r="B705" s="317"/>
    </row>
    <row r="706" spans="1:2">
      <c r="A706" s="1197"/>
      <c r="B706" s="317"/>
    </row>
    <row r="707" spans="1:2">
      <c r="A707" s="1197"/>
      <c r="B707" s="317"/>
    </row>
    <row r="708" spans="1:2">
      <c r="A708" s="1197"/>
      <c r="B708" s="317"/>
    </row>
    <row r="709" spans="1:2">
      <c r="A709" s="1197"/>
      <c r="B709" s="317"/>
    </row>
    <row r="710" spans="1:2">
      <c r="A710" s="1197"/>
      <c r="B710" s="317"/>
    </row>
    <row r="711" spans="1:2">
      <c r="A711" s="1197"/>
      <c r="B711" s="317"/>
    </row>
    <row r="712" spans="1:2">
      <c r="A712" s="1197"/>
      <c r="B712" s="317"/>
    </row>
    <row r="713" spans="1:2">
      <c r="A713" s="1197"/>
      <c r="B713" s="317"/>
    </row>
    <row r="714" spans="1:2">
      <c r="A714" s="1197"/>
      <c r="B714" s="317"/>
    </row>
    <row r="715" spans="1:2">
      <c r="A715" s="1197"/>
      <c r="B715" s="317"/>
    </row>
    <row r="716" spans="1:2">
      <c r="A716" s="1197"/>
      <c r="B716" s="317"/>
    </row>
    <row r="717" spans="1:2">
      <c r="A717" s="1197"/>
      <c r="B717" s="317"/>
    </row>
    <row r="718" spans="1:2">
      <c r="A718" s="1197"/>
      <c r="B718" s="317"/>
    </row>
    <row r="719" spans="1:2">
      <c r="A719" s="1197"/>
      <c r="B719" s="317"/>
    </row>
    <row r="720" spans="1:2">
      <c r="A720" s="1197"/>
      <c r="B720" s="317"/>
    </row>
    <row r="721" spans="1:2">
      <c r="A721" s="1197"/>
      <c r="B721" s="317"/>
    </row>
    <row r="722" spans="1:2">
      <c r="A722" s="1197"/>
      <c r="B722" s="317"/>
    </row>
    <row r="723" spans="1:2">
      <c r="A723" s="1197"/>
      <c r="B723" s="317"/>
    </row>
    <row r="724" spans="1:2">
      <c r="A724" s="1197"/>
      <c r="B724" s="317"/>
    </row>
    <row r="725" spans="1:2">
      <c r="A725" s="1197"/>
      <c r="B725" s="317"/>
    </row>
    <row r="726" spans="1:2">
      <c r="A726" s="1197"/>
      <c r="B726" s="317"/>
    </row>
    <row r="727" spans="1:2">
      <c r="A727" s="1197"/>
      <c r="B727" s="317"/>
    </row>
    <row r="728" spans="1:2">
      <c r="A728" s="1197"/>
      <c r="B728" s="317"/>
    </row>
    <row r="729" spans="1:2">
      <c r="A729" s="1197"/>
      <c r="B729" s="317"/>
    </row>
    <row r="730" spans="1:2">
      <c r="A730" s="1197"/>
      <c r="B730" s="317"/>
    </row>
    <row r="731" spans="1:2">
      <c r="A731" s="1197"/>
      <c r="B731" s="317"/>
    </row>
    <row r="732" spans="1:2">
      <c r="A732" s="1197"/>
      <c r="B732" s="317"/>
    </row>
    <row r="733" spans="1:2">
      <c r="A733" s="1197"/>
      <c r="B733" s="317"/>
    </row>
    <row r="734" spans="1:2">
      <c r="A734" s="1197"/>
      <c r="B734" s="317"/>
    </row>
    <row r="735" spans="1:2">
      <c r="A735" s="1197"/>
      <c r="B735" s="317"/>
    </row>
    <row r="736" spans="1:2">
      <c r="A736" s="1197"/>
      <c r="B736" s="317"/>
    </row>
    <row r="737" spans="1:2">
      <c r="A737" s="1197"/>
      <c r="B737" s="317"/>
    </row>
    <row r="738" spans="1:2">
      <c r="A738" s="1197"/>
      <c r="B738" s="317"/>
    </row>
    <row r="739" spans="1:2">
      <c r="A739" s="1197"/>
      <c r="B739" s="317"/>
    </row>
    <row r="740" spans="1:2">
      <c r="A740" s="1197"/>
      <c r="B740" s="317"/>
    </row>
    <row r="741" spans="1:2">
      <c r="A741" s="1197"/>
      <c r="B741" s="317"/>
    </row>
    <row r="742" spans="1:2">
      <c r="A742" s="1197"/>
      <c r="B742" s="317"/>
    </row>
    <row r="743" spans="1:2">
      <c r="A743" s="1197"/>
      <c r="B743" s="317"/>
    </row>
    <row r="744" spans="1:2">
      <c r="A744" s="1197"/>
      <c r="B744" s="317"/>
    </row>
    <row r="745" spans="1:2">
      <c r="A745" s="1197"/>
      <c r="B745" s="317"/>
    </row>
    <row r="746" spans="1:2">
      <c r="A746" s="1197"/>
      <c r="B746" s="317"/>
    </row>
    <row r="747" spans="1:2">
      <c r="A747" s="1197"/>
      <c r="B747" s="317"/>
    </row>
    <row r="748" spans="1:2">
      <c r="A748" s="1197"/>
      <c r="B748" s="317"/>
    </row>
    <row r="749" spans="1:2">
      <c r="A749" s="1197"/>
      <c r="B749" s="317"/>
    </row>
    <row r="750" spans="1:2">
      <c r="A750" s="1197"/>
      <c r="B750" s="317"/>
    </row>
    <row r="751" spans="1:2">
      <c r="A751" s="1197"/>
      <c r="B751" s="317"/>
    </row>
    <row r="752" spans="1:2">
      <c r="A752" s="1197"/>
      <c r="B752" s="317"/>
    </row>
    <row r="753" spans="1:2">
      <c r="A753" s="1197"/>
      <c r="B753" s="317"/>
    </row>
    <row r="754" spans="1:2">
      <c r="A754" s="1197"/>
      <c r="B754" s="317"/>
    </row>
    <row r="755" spans="1:2">
      <c r="A755" s="1197"/>
      <c r="B755" s="317"/>
    </row>
    <row r="756" spans="1:2">
      <c r="A756" s="1197"/>
      <c r="B756" s="317"/>
    </row>
    <row r="757" spans="1:2">
      <c r="A757" s="1197"/>
      <c r="B757" s="317"/>
    </row>
    <row r="758" spans="1:2">
      <c r="A758" s="1197"/>
      <c r="B758" s="317"/>
    </row>
    <row r="759" spans="1:2">
      <c r="A759" s="1197"/>
      <c r="B759" s="317"/>
    </row>
    <row r="760" spans="1:2">
      <c r="A760" s="1197"/>
      <c r="B760" s="317"/>
    </row>
    <row r="761" spans="1:2">
      <c r="A761" s="1197"/>
      <c r="B761" s="317"/>
    </row>
    <row r="762" spans="1:2">
      <c r="A762" s="1197"/>
      <c r="B762" s="317"/>
    </row>
    <row r="763" spans="1:2">
      <c r="A763" s="1197"/>
      <c r="B763" s="317"/>
    </row>
    <row r="764" spans="1:2">
      <c r="A764" s="1197"/>
      <c r="B764" s="317"/>
    </row>
    <row r="765" spans="1:2">
      <c r="A765" s="1197"/>
      <c r="B765" s="317"/>
    </row>
    <row r="766" spans="1:2">
      <c r="A766" s="1197"/>
      <c r="B766" s="317"/>
    </row>
    <row r="767" spans="1:2">
      <c r="A767" s="1197"/>
      <c r="B767" s="317"/>
    </row>
    <row r="768" spans="1:2">
      <c r="A768" s="1197"/>
      <c r="B768" s="317"/>
    </row>
    <row r="769" spans="1:2">
      <c r="A769" s="1197"/>
      <c r="B769" s="317"/>
    </row>
    <row r="770" spans="1:2">
      <c r="A770" s="1197"/>
      <c r="B770" s="317"/>
    </row>
    <row r="771" spans="1:2">
      <c r="A771" s="1197"/>
      <c r="B771" s="317"/>
    </row>
    <row r="772" spans="1:2">
      <c r="A772" s="1197"/>
      <c r="B772" s="317"/>
    </row>
    <row r="773" spans="1:2">
      <c r="A773" s="1197"/>
      <c r="B773" s="317"/>
    </row>
    <row r="774" spans="1:2">
      <c r="A774" s="1197"/>
      <c r="B774" s="317"/>
    </row>
    <row r="775" spans="1:2">
      <c r="A775" s="1197"/>
      <c r="B775" s="317"/>
    </row>
    <row r="776" spans="1:2">
      <c r="A776" s="1197"/>
      <c r="B776" s="317"/>
    </row>
    <row r="777" spans="1:2">
      <c r="A777" s="1197"/>
      <c r="B777" s="317"/>
    </row>
    <row r="778" spans="1:2">
      <c r="A778" s="1197"/>
      <c r="B778" s="317"/>
    </row>
    <row r="779" spans="1:2">
      <c r="A779" s="1197"/>
      <c r="B779" s="317"/>
    </row>
    <row r="780" spans="1:2">
      <c r="A780" s="1197"/>
      <c r="B780" s="317"/>
    </row>
    <row r="781" spans="1:2">
      <c r="A781" s="1197"/>
      <c r="B781" s="317"/>
    </row>
    <row r="782" spans="1:2">
      <c r="A782" s="1197"/>
      <c r="B782" s="317"/>
    </row>
    <row r="783" spans="1:2">
      <c r="A783" s="1197"/>
      <c r="B783" s="317"/>
    </row>
    <row r="784" spans="1:2">
      <c r="A784" s="1197"/>
      <c r="B784" s="317"/>
    </row>
    <row r="785" spans="1:2">
      <c r="A785" s="1197"/>
      <c r="B785" s="317"/>
    </row>
    <row r="786" spans="1:2">
      <c r="A786" s="1197"/>
      <c r="B786" s="317"/>
    </row>
    <row r="787" spans="1:2">
      <c r="A787" s="1197"/>
      <c r="B787" s="317"/>
    </row>
    <row r="788" spans="1:2">
      <c r="A788" s="1197"/>
      <c r="B788" s="317"/>
    </row>
    <row r="789" spans="1:2">
      <c r="A789" s="1197"/>
      <c r="B789" s="317"/>
    </row>
    <row r="790" spans="1:2">
      <c r="A790" s="1197"/>
      <c r="B790" s="317"/>
    </row>
    <row r="791" spans="1:2">
      <c r="A791" s="1197"/>
      <c r="B791" s="317"/>
    </row>
    <row r="792" spans="1:2">
      <c r="A792" s="1197"/>
      <c r="B792" s="317"/>
    </row>
    <row r="793" spans="1:2">
      <c r="A793" s="1197"/>
      <c r="B793" s="317"/>
    </row>
    <row r="794" spans="1:2">
      <c r="A794" s="1197"/>
      <c r="B794" s="317"/>
    </row>
    <row r="795" spans="1:2">
      <c r="A795" s="1197"/>
      <c r="B795" s="317"/>
    </row>
    <row r="796" spans="1:2">
      <c r="A796" s="1197"/>
      <c r="B796" s="317"/>
    </row>
    <row r="797" spans="1:2">
      <c r="A797" s="1197"/>
      <c r="B797" s="317"/>
    </row>
    <row r="798" spans="1:2">
      <c r="A798" s="1197"/>
      <c r="B798" s="317"/>
    </row>
    <row r="799" spans="1:2">
      <c r="A799" s="1197"/>
      <c r="B799" s="317"/>
    </row>
    <row r="800" spans="1:2">
      <c r="A800" s="1197"/>
      <c r="B800" s="317"/>
    </row>
    <row r="801" spans="1:2">
      <c r="A801" s="1197"/>
      <c r="B801" s="317"/>
    </row>
    <row r="802" spans="1:2">
      <c r="A802" s="1197"/>
      <c r="B802" s="317"/>
    </row>
    <row r="803" spans="1:2">
      <c r="A803" s="1197"/>
      <c r="B803" s="317"/>
    </row>
    <row r="804" spans="1:2">
      <c r="A804" s="1197"/>
      <c r="B804" s="317"/>
    </row>
    <row r="805" spans="1:2">
      <c r="A805" s="1197"/>
      <c r="B805" s="317"/>
    </row>
    <row r="806" spans="1:2">
      <c r="A806" s="1197"/>
      <c r="B806" s="317"/>
    </row>
    <row r="807" spans="1:2">
      <c r="A807" s="1197"/>
      <c r="B807" s="317"/>
    </row>
    <row r="808" spans="1:2">
      <c r="A808" s="1197"/>
      <c r="B808" s="317"/>
    </row>
    <row r="809" spans="1:2">
      <c r="A809" s="1197"/>
      <c r="B809" s="317"/>
    </row>
    <row r="810" spans="1:2">
      <c r="A810" s="1197"/>
      <c r="B810" s="317"/>
    </row>
    <row r="811" spans="1:2">
      <c r="A811" s="1197"/>
      <c r="B811" s="317"/>
    </row>
    <row r="812" spans="1:2">
      <c r="A812" s="1197"/>
      <c r="B812" s="317"/>
    </row>
    <row r="813" spans="1:2">
      <c r="A813" s="1197"/>
      <c r="B813" s="317"/>
    </row>
    <row r="814" spans="1:2">
      <c r="A814" s="1197"/>
      <c r="B814" s="317"/>
    </row>
    <row r="815" spans="1:2">
      <c r="A815" s="1197"/>
      <c r="B815" s="317"/>
    </row>
    <row r="816" spans="1:2">
      <c r="A816" s="1197"/>
      <c r="B816" s="317"/>
    </row>
    <row r="817" spans="1:2">
      <c r="A817" s="1197"/>
      <c r="B817" s="317"/>
    </row>
    <row r="818" spans="1:2">
      <c r="A818" s="1197"/>
      <c r="B818" s="317"/>
    </row>
    <row r="819" spans="1:2">
      <c r="A819" s="1197"/>
      <c r="B819" s="317"/>
    </row>
    <row r="820" spans="1:2">
      <c r="A820" s="1197"/>
      <c r="B820" s="317"/>
    </row>
    <row r="821" spans="1:2">
      <c r="A821" s="1197"/>
      <c r="B821" s="317"/>
    </row>
    <row r="822" spans="1:2">
      <c r="A822" s="1197"/>
      <c r="B822" s="317"/>
    </row>
    <row r="823" spans="1:2">
      <c r="A823" s="1197"/>
      <c r="B823" s="317"/>
    </row>
    <row r="824" spans="1:2">
      <c r="A824" s="1197"/>
      <c r="B824" s="317"/>
    </row>
    <row r="825" spans="1:2">
      <c r="A825" s="1197"/>
      <c r="B825" s="317"/>
    </row>
    <row r="826" spans="1:2">
      <c r="A826" s="1197"/>
      <c r="B826" s="317"/>
    </row>
    <row r="827" spans="1:2">
      <c r="A827" s="1197"/>
      <c r="B827" s="317"/>
    </row>
    <row r="828" spans="1:2">
      <c r="A828" s="1197"/>
      <c r="B828" s="317"/>
    </row>
    <row r="829" spans="1:2">
      <c r="A829" s="1197"/>
      <c r="B829" s="317"/>
    </row>
    <row r="830" spans="1:2">
      <c r="A830" s="1197"/>
      <c r="B830" s="317"/>
    </row>
    <row r="831" spans="1:2">
      <c r="A831" s="1197"/>
      <c r="B831" s="317"/>
    </row>
    <row r="832" spans="1:2">
      <c r="A832" s="1197"/>
      <c r="B832" s="317"/>
    </row>
    <row r="833" spans="1:2">
      <c r="A833" s="1197"/>
      <c r="B833" s="317"/>
    </row>
    <row r="834" spans="1:2">
      <c r="A834" s="1197"/>
      <c r="B834" s="317"/>
    </row>
    <row r="835" spans="1:2">
      <c r="A835" s="1197"/>
      <c r="B835" s="317"/>
    </row>
    <row r="836" spans="1:2">
      <c r="A836" s="1197"/>
      <c r="B836" s="317"/>
    </row>
    <row r="837" spans="1:2">
      <c r="A837" s="1197"/>
      <c r="B837" s="317"/>
    </row>
    <row r="838" spans="1:2">
      <c r="A838" s="1197"/>
      <c r="B838" s="317"/>
    </row>
    <row r="839" spans="1:2">
      <c r="A839" s="1197"/>
      <c r="B839" s="317"/>
    </row>
    <row r="840" spans="1:2">
      <c r="A840" s="1197"/>
      <c r="B840" s="317"/>
    </row>
    <row r="841" spans="1:2">
      <c r="A841" s="1197"/>
      <c r="B841" s="317"/>
    </row>
    <row r="842" spans="1:2">
      <c r="A842" s="1197"/>
      <c r="B842" s="317"/>
    </row>
    <row r="843" spans="1:2">
      <c r="A843" s="1197"/>
      <c r="B843" s="317"/>
    </row>
    <row r="844" spans="1:2">
      <c r="A844" s="1197"/>
      <c r="B844" s="317"/>
    </row>
    <row r="845" spans="1:2">
      <c r="A845" s="1197"/>
      <c r="B845" s="317"/>
    </row>
    <row r="846" spans="1:2">
      <c r="A846" s="1197"/>
      <c r="B846" s="317"/>
    </row>
    <row r="847" spans="1:2">
      <c r="A847" s="1197"/>
      <c r="B847" s="317"/>
    </row>
    <row r="848" spans="1:2">
      <c r="A848" s="1197"/>
      <c r="B848" s="317"/>
    </row>
    <row r="849" spans="1:2">
      <c r="A849" s="1197"/>
      <c r="B849" s="317"/>
    </row>
    <row r="850" spans="1:2">
      <c r="A850" s="1197"/>
      <c r="B850" s="317"/>
    </row>
    <row r="851" spans="1:2">
      <c r="A851" s="1197"/>
      <c r="B851" s="317"/>
    </row>
    <row r="852" spans="1:2">
      <c r="A852" s="1197"/>
      <c r="B852" s="317"/>
    </row>
    <row r="853" spans="1:2">
      <c r="A853" s="1197"/>
      <c r="B853" s="317"/>
    </row>
    <row r="854" spans="1:2">
      <c r="A854" s="1197"/>
      <c r="B854" s="317"/>
    </row>
    <row r="855" spans="1:2">
      <c r="A855" s="1197"/>
      <c r="B855" s="317"/>
    </row>
    <row r="856" spans="1:2">
      <c r="A856" s="1197"/>
      <c r="B856" s="317"/>
    </row>
    <row r="857" spans="1:2">
      <c r="A857" s="1197"/>
      <c r="B857" s="317"/>
    </row>
    <row r="858" spans="1:2">
      <c r="A858" s="1197"/>
      <c r="B858" s="317"/>
    </row>
    <row r="859" spans="1:2">
      <c r="A859" s="1197"/>
      <c r="B859" s="317"/>
    </row>
    <row r="860" spans="1:2">
      <c r="A860" s="1197"/>
      <c r="B860" s="317"/>
    </row>
    <row r="861" spans="1:2">
      <c r="A861" s="1197"/>
      <c r="B861" s="317"/>
    </row>
    <row r="862" spans="1:2">
      <c r="A862" s="1197"/>
      <c r="B862" s="317"/>
    </row>
    <row r="863" spans="1:2">
      <c r="A863" s="1197"/>
      <c r="B863" s="317"/>
    </row>
    <row r="864" spans="1:2">
      <c r="A864" s="1197"/>
      <c r="B864" s="317"/>
    </row>
    <row r="865" spans="1:2">
      <c r="A865" s="1197"/>
      <c r="B865" s="317"/>
    </row>
    <row r="866" spans="1:2">
      <c r="A866" s="1197"/>
      <c r="B866" s="317"/>
    </row>
    <row r="867" spans="1:2">
      <c r="A867" s="1197"/>
      <c r="B867" s="317"/>
    </row>
    <row r="868" spans="1:2">
      <c r="A868" s="1197"/>
      <c r="B868" s="317"/>
    </row>
    <row r="869" spans="1:2">
      <c r="A869" s="1197"/>
      <c r="B869" s="317"/>
    </row>
    <row r="870" spans="1:2">
      <c r="A870" s="1197"/>
      <c r="B870" s="317"/>
    </row>
    <row r="871" spans="1:2">
      <c r="A871" s="1197"/>
      <c r="B871" s="317"/>
    </row>
    <row r="872" spans="1:2">
      <c r="A872" s="1197"/>
      <c r="B872" s="317"/>
    </row>
    <row r="873" spans="1:2">
      <c r="A873" s="1197"/>
      <c r="B873" s="317"/>
    </row>
    <row r="874" spans="1:2">
      <c r="A874" s="1197"/>
      <c r="B874" s="317"/>
    </row>
    <row r="875" spans="1:2">
      <c r="A875" s="1197"/>
      <c r="B875" s="317"/>
    </row>
    <row r="876" spans="1:2">
      <c r="A876" s="1197"/>
      <c r="B876" s="317"/>
    </row>
    <row r="877" spans="1:2">
      <c r="A877" s="1197"/>
      <c r="B877" s="317"/>
    </row>
    <row r="878" spans="1:2">
      <c r="A878" s="1197"/>
      <c r="B878" s="317"/>
    </row>
    <row r="879" spans="1:2">
      <c r="A879" s="1197"/>
      <c r="B879" s="317"/>
    </row>
    <row r="880" spans="1:2">
      <c r="A880" s="1197"/>
      <c r="B880" s="317"/>
    </row>
    <row r="881" spans="1:2">
      <c r="A881" s="1197"/>
      <c r="B881" s="317"/>
    </row>
    <row r="882" spans="1:2">
      <c r="A882" s="1197"/>
      <c r="B882" s="317"/>
    </row>
    <row r="883" spans="1:2">
      <c r="A883" s="1197"/>
      <c r="B883" s="317"/>
    </row>
    <row r="884" spans="1:2">
      <c r="A884" s="1197"/>
      <c r="B884" s="317"/>
    </row>
    <row r="885" spans="1:2">
      <c r="A885" s="1197"/>
      <c r="B885" s="317"/>
    </row>
    <row r="886" spans="1:2">
      <c r="A886" s="1197"/>
      <c r="B886" s="317"/>
    </row>
    <row r="887" spans="1:2">
      <c r="A887" s="1197"/>
      <c r="B887" s="317"/>
    </row>
    <row r="888" spans="1:2">
      <c r="A888" s="1197"/>
      <c r="B888" s="317"/>
    </row>
    <row r="889" spans="1:2">
      <c r="A889" s="1197"/>
      <c r="B889" s="317"/>
    </row>
    <row r="890" spans="1:2">
      <c r="A890" s="1197"/>
      <c r="B890" s="317"/>
    </row>
    <row r="891" spans="1:2">
      <c r="A891" s="1197"/>
      <c r="B891" s="317"/>
    </row>
    <row r="892" spans="1:2">
      <c r="A892" s="1197"/>
      <c r="B892" s="317"/>
    </row>
    <row r="893" spans="1:2">
      <c r="A893" s="1197"/>
      <c r="B893" s="317"/>
    </row>
    <row r="894" spans="1:2">
      <c r="A894" s="1197"/>
      <c r="B894" s="317"/>
    </row>
    <row r="895" spans="1:2">
      <c r="A895" s="1197"/>
      <c r="B895" s="317"/>
    </row>
    <row r="896" spans="1:2">
      <c r="A896" s="1197"/>
      <c r="B896" s="317"/>
    </row>
    <row r="897" spans="1:2">
      <c r="A897" s="1197"/>
      <c r="B897" s="317"/>
    </row>
    <row r="898" spans="1:2">
      <c r="A898" s="1197"/>
      <c r="B898" s="317"/>
    </row>
    <row r="899" spans="1:2">
      <c r="A899" s="1197"/>
      <c r="B899" s="317"/>
    </row>
    <row r="900" spans="1:2">
      <c r="A900" s="1197"/>
      <c r="B900" s="317"/>
    </row>
    <row r="901" spans="1:2">
      <c r="A901" s="1197"/>
      <c r="B901" s="317"/>
    </row>
    <row r="902" spans="1:2">
      <c r="A902" s="1197"/>
      <c r="B902" s="317"/>
    </row>
    <row r="903" spans="1:2">
      <c r="A903" s="1197"/>
      <c r="B903" s="317"/>
    </row>
    <row r="904" spans="1:2">
      <c r="A904" s="1197"/>
      <c r="B904" s="317"/>
    </row>
    <row r="905" spans="1:2">
      <c r="A905" s="1197"/>
      <c r="B905" s="317"/>
    </row>
    <row r="906" spans="1:2">
      <c r="A906" s="1197"/>
      <c r="B906" s="317"/>
    </row>
    <row r="907" spans="1:2">
      <c r="A907" s="1197"/>
      <c r="B907" s="317"/>
    </row>
    <row r="908" spans="1:2">
      <c r="A908" s="1197"/>
      <c r="B908" s="317"/>
    </row>
    <row r="909" spans="1:2">
      <c r="A909" s="1197"/>
      <c r="B909" s="317"/>
    </row>
    <row r="910" spans="1:2">
      <c r="A910" s="1197"/>
      <c r="B910" s="317"/>
    </row>
    <row r="911" spans="1:2">
      <c r="A911" s="1197"/>
      <c r="B911" s="317"/>
    </row>
    <row r="912" spans="1:2">
      <c r="A912" s="1197"/>
      <c r="B912" s="317"/>
    </row>
    <row r="913" spans="1:2">
      <c r="A913" s="1197"/>
      <c r="B913" s="317"/>
    </row>
    <row r="914" spans="1:2">
      <c r="A914" s="1197"/>
      <c r="B914" s="317"/>
    </row>
    <row r="915" spans="1:2">
      <c r="A915" s="1197"/>
      <c r="B915" s="317"/>
    </row>
    <row r="916" spans="1:2">
      <c r="A916" s="1197"/>
      <c r="B916" s="317"/>
    </row>
    <row r="917" spans="1:2">
      <c r="A917" s="1197"/>
      <c r="B917" s="317"/>
    </row>
    <row r="918" spans="1:2">
      <c r="A918" s="1197"/>
      <c r="B918" s="317"/>
    </row>
    <row r="919" spans="1:2">
      <c r="A919" s="1197"/>
      <c r="B919" s="317"/>
    </row>
    <row r="920" spans="1:2">
      <c r="A920" s="1197"/>
      <c r="B920" s="317"/>
    </row>
    <row r="921" spans="1:2">
      <c r="A921" s="1197"/>
      <c r="B921" s="317"/>
    </row>
    <row r="922" spans="1:2">
      <c r="A922" s="1197"/>
      <c r="B922" s="317"/>
    </row>
    <row r="923" spans="1:2">
      <c r="A923" s="1197"/>
      <c r="B923" s="317"/>
    </row>
    <row r="924" spans="1:2">
      <c r="A924" s="1197"/>
      <c r="B924" s="317"/>
    </row>
    <row r="925" spans="1:2">
      <c r="A925" s="1197"/>
      <c r="B925" s="317"/>
    </row>
    <row r="926" spans="1:2">
      <c r="A926" s="1197"/>
      <c r="B926" s="317"/>
    </row>
    <row r="927" spans="1:2">
      <c r="A927" s="1197"/>
      <c r="B927" s="317"/>
    </row>
    <row r="928" spans="1:2">
      <c r="A928" s="1197"/>
      <c r="B928" s="317"/>
    </row>
    <row r="929" spans="1:2">
      <c r="A929" s="1197"/>
      <c r="B929" s="317"/>
    </row>
    <row r="930" spans="1:2">
      <c r="A930" s="1197"/>
      <c r="B930" s="317"/>
    </row>
    <row r="931" spans="1:2">
      <c r="A931" s="1197"/>
      <c r="B931" s="317"/>
    </row>
    <row r="932" spans="1:2">
      <c r="A932" s="1197"/>
      <c r="B932" s="317"/>
    </row>
    <row r="933" spans="1:2">
      <c r="A933" s="1197"/>
      <c r="B933" s="317"/>
    </row>
    <row r="934" spans="1:2">
      <c r="A934" s="1197"/>
      <c r="B934" s="317"/>
    </row>
    <row r="935" spans="1:2">
      <c r="A935" s="1197"/>
      <c r="B935" s="317"/>
    </row>
    <row r="936" spans="1:2">
      <c r="A936" s="1197"/>
      <c r="B936" s="317"/>
    </row>
    <row r="937" spans="1:2">
      <c r="A937" s="1197"/>
      <c r="B937" s="317"/>
    </row>
    <row r="938" spans="1:2">
      <c r="A938" s="1197"/>
      <c r="B938" s="317"/>
    </row>
    <row r="939" spans="1:2">
      <c r="A939" s="1197"/>
      <c r="B939" s="317"/>
    </row>
    <row r="940" spans="1:2">
      <c r="A940" s="1197"/>
      <c r="B940" s="317"/>
    </row>
    <row r="941" spans="1:2">
      <c r="A941" s="1197"/>
      <c r="B941" s="317"/>
    </row>
    <row r="942" spans="1:2">
      <c r="A942" s="1197"/>
      <c r="B942" s="317"/>
    </row>
    <row r="943" spans="1:2">
      <c r="A943" s="1197"/>
      <c r="B943" s="317"/>
    </row>
    <row r="944" spans="1:2">
      <c r="A944" s="1197"/>
      <c r="B944" s="317"/>
    </row>
    <row r="945" spans="1:2">
      <c r="A945" s="1197"/>
      <c r="B945" s="317"/>
    </row>
    <row r="946" spans="1:2">
      <c r="A946" s="1197"/>
      <c r="B946" s="317"/>
    </row>
    <row r="947" spans="1:2">
      <c r="A947" s="1197"/>
      <c r="B947" s="317"/>
    </row>
    <row r="948" spans="1:2">
      <c r="A948" s="1197"/>
      <c r="B948" s="317"/>
    </row>
    <row r="949" spans="1:2">
      <c r="A949" s="1197"/>
      <c r="B949" s="317"/>
    </row>
    <row r="950" spans="1:2">
      <c r="A950" s="1197"/>
      <c r="B950" s="317"/>
    </row>
    <row r="951" spans="1:2">
      <c r="A951" s="1197"/>
      <c r="B951" s="317"/>
    </row>
    <row r="952" spans="1:2">
      <c r="A952" s="1197"/>
      <c r="B952" s="317"/>
    </row>
    <row r="953" spans="1:2">
      <c r="A953" s="1197"/>
      <c r="B953" s="317"/>
    </row>
    <row r="954" spans="1:2">
      <c r="A954" s="1197"/>
      <c r="B954" s="317"/>
    </row>
    <row r="955" spans="1:2">
      <c r="A955" s="1197"/>
      <c r="B955" s="317"/>
    </row>
    <row r="956" spans="1:2">
      <c r="A956" s="1197"/>
      <c r="B956" s="317"/>
    </row>
    <row r="957" spans="1:2">
      <c r="A957" s="1197"/>
      <c r="B957" s="317"/>
    </row>
    <row r="958" spans="1:2">
      <c r="A958" s="1197"/>
      <c r="B958" s="317"/>
    </row>
    <row r="959" spans="1:2">
      <c r="A959" s="1197"/>
      <c r="B959" s="317"/>
    </row>
    <row r="960" spans="1:2">
      <c r="A960" s="1197"/>
      <c r="B960" s="317"/>
    </row>
    <row r="961" spans="1:2">
      <c r="A961" s="1197"/>
      <c r="B961" s="317"/>
    </row>
    <row r="962" spans="1:2">
      <c r="A962" s="1197"/>
      <c r="B962" s="317"/>
    </row>
    <row r="963" spans="1:2">
      <c r="A963" s="1197"/>
      <c r="B963" s="317"/>
    </row>
    <row r="964" spans="1:2">
      <c r="A964" s="1197"/>
      <c r="B964" s="317"/>
    </row>
    <row r="965" spans="1:2">
      <c r="A965" s="1197"/>
      <c r="B965" s="317"/>
    </row>
    <row r="966" spans="1:2">
      <c r="A966" s="1197"/>
      <c r="B966" s="317"/>
    </row>
    <row r="967" spans="1:2">
      <c r="A967" s="1197"/>
      <c r="B967" s="317"/>
    </row>
    <row r="968" spans="1:2">
      <c r="A968" s="1197"/>
      <c r="B968" s="317"/>
    </row>
    <row r="969" spans="1:2">
      <c r="A969" s="1197"/>
      <c r="B969" s="317"/>
    </row>
    <row r="970" spans="1:2">
      <c r="A970" s="1197"/>
      <c r="B970" s="317"/>
    </row>
    <row r="971" spans="1:2">
      <c r="A971" s="1197"/>
      <c r="B971" s="317"/>
    </row>
    <row r="972" spans="1:2">
      <c r="A972" s="1197"/>
      <c r="B972" s="317"/>
    </row>
    <row r="973" spans="1:2">
      <c r="A973" s="1197"/>
      <c r="B973" s="317"/>
    </row>
    <row r="974" spans="1:2">
      <c r="A974" s="1197"/>
      <c r="B974" s="317"/>
    </row>
    <row r="975" spans="1:2">
      <c r="A975" s="1197"/>
      <c r="B975" s="317"/>
    </row>
    <row r="976" spans="1:2">
      <c r="A976" s="1197"/>
      <c r="B976" s="317"/>
    </row>
    <row r="977" spans="1:2">
      <c r="A977" s="1197"/>
      <c r="B977" s="317"/>
    </row>
    <row r="978" spans="1:2">
      <c r="A978" s="1197"/>
      <c r="B978" s="317"/>
    </row>
    <row r="979" spans="1:2">
      <c r="A979" s="1197"/>
      <c r="B979" s="317"/>
    </row>
    <row r="980" spans="1:2">
      <c r="A980" s="1197"/>
      <c r="B980" s="317"/>
    </row>
    <row r="981" spans="1:2">
      <c r="A981" s="1197"/>
      <c r="B981" s="317"/>
    </row>
    <row r="982" spans="1:2">
      <c r="A982" s="1197"/>
      <c r="B982" s="317"/>
    </row>
    <row r="983" spans="1:2">
      <c r="A983" s="1197"/>
      <c r="B983" s="317"/>
    </row>
    <row r="984" spans="1:2">
      <c r="A984" s="1197"/>
      <c r="B984" s="317"/>
    </row>
    <row r="985" spans="1:2">
      <c r="A985" s="1197"/>
      <c r="B985" s="317"/>
    </row>
    <row r="986" spans="1:2">
      <c r="A986" s="1197"/>
      <c r="B986" s="317"/>
    </row>
    <row r="987" spans="1:2">
      <c r="A987" s="1197"/>
      <c r="B987" s="317"/>
    </row>
    <row r="988" spans="1:2">
      <c r="A988" s="1197"/>
      <c r="B988" s="317"/>
    </row>
    <row r="989" spans="1:2">
      <c r="A989" s="1197"/>
      <c r="B989" s="317"/>
    </row>
    <row r="990" spans="1:2">
      <c r="A990" s="1197"/>
      <c r="B990" s="317"/>
    </row>
    <row r="991" spans="1:2">
      <c r="A991" s="1197"/>
      <c r="B991" s="317"/>
    </row>
    <row r="992" spans="1:2">
      <c r="A992" s="1197"/>
      <c r="B992" s="317"/>
    </row>
    <row r="993" spans="1:2">
      <c r="A993" s="1197"/>
      <c r="B993" s="317"/>
    </row>
    <row r="994" spans="1:2">
      <c r="A994" s="1197"/>
      <c r="B994" s="317"/>
    </row>
    <row r="995" spans="1:2">
      <c r="A995" s="1197"/>
      <c r="B995" s="317"/>
    </row>
    <row r="996" spans="1:2">
      <c r="A996" s="1197"/>
      <c r="B996" s="317"/>
    </row>
    <row r="997" spans="1:2">
      <c r="A997" s="1197"/>
      <c r="B997" s="317"/>
    </row>
    <row r="998" spans="1:2">
      <c r="A998" s="1197"/>
      <c r="B998" s="317"/>
    </row>
    <row r="999" spans="1:2">
      <c r="A999" s="1197"/>
      <c r="B999" s="317"/>
    </row>
    <row r="1000" spans="1:2">
      <c r="A1000" s="1197"/>
      <c r="B1000" s="317"/>
    </row>
    <row r="1001" spans="1:2">
      <c r="A1001" s="1197"/>
      <c r="B1001" s="317"/>
    </row>
    <row r="1002" spans="1:2">
      <c r="A1002" s="1197"/>
      <c r="B1002" s="317"/>
    </row>
    <row r="1003" spans="1:2">
      <c r="A1003" s="1197"/>
      <c r="B1003" s="317"/>
    </row>
    <row r="1004" spans="1:2">
      <c r="A1004" s="1197"/>
      <c r="B1004" s="317"/>
    </row>
    <row r="1005" spans="1:2">
      <c r="A1005" s="1197"/>
      <c r="B1005" s="317"/>
    </row>
    <row r="1006" spans="1:2">
      <c r="A1006" s="1197"/>
      <c r="B1006" s="317"/>
    </row>
    <row r="1007" spans="1:2">
      <c r="A1007" s="1197"/>
      <c r="B1007" s="317"/>
    </row>
    <row r="1008" spans="1:2">
      <c r="A1008" s="1197"/>
      <c r="B1008" s="317"/>
    </row>
    <row r="1009" spans="1:2">
      <c r="A1009" s="1197"/>
      <c r="B1009" s="317"/>
    </row>
    <row r="1010" spans="1:2">
      <c r="A1010" s="1197"/>
      <c r="B1010" s="317"/>
    </row>
    <row r="1011" spans="1:2">
      <c r="A1011" s="1197"/>
      <c r="B1011" s="317"/>
    </row>
    <row r="1012" spans="1:2">
      <c r="A1012" s="1197"/>
      <c r="B1012" s="317"/>
    </row>
    <row r="1013" spans="1:2">
      <c r="A1013" s="1197"/>
      <c r="B1013" s="317"/>
    </row>
    <row r="1014" spans="1:2">
      <c r="A1014" s="1197"/>
      <c r="B1014" s="317"/>
    </row>
    <row r="1015" spans="1:2">
      <c r="A1015" s="1197"/>
      <c r="B1015" s="317"/>
    </row>
    <row r="1016" spans="1:2">
      <c r="A1016" s="1197"/>
      <c r="B1016" s="317"/>
    </row>
    <row r="1017" spans="1:2">
      <c r="A1017" s="1197"/>
      <c r="B1017" s="317"/>
    </row>
    <row r="1018" spans="1:2">
      <c r="A1018" s="1197"/>
      <c r="B1018" s="317"/>
    </row>
    <row r="1019" spans="1:2">
      <c r="A1019" s="1197"/>
      <c r="B1019" s="317"/>
    </row>
    <row r="1020" spans="1:2">
      <c r="A1020" s="1197"/>
      <c r="B1020" s="317"/>
    </row>
    <row r="1021" spans="1:2">
      <c r="A1021" s="1197"/>
      <c r="B1021" s="317"/>
    </row>
    <row r="1022" spans="1:2">
      <c r="A1022" s="1197"/>
      <c r="B1022" s="317"/>
    </row>
    <row r="1023" spans="1:2">
      <c r="A1023" s="1197"/>
      <c r="B1023" s="317"/>
    </row>
    <row r="1024" spans="1:2">
      <c r="A1024" s="1197"/>
      <c r="B1024" s="317"/>
    </row>
    <row r="1025" spans="1:2">
      <c r="A1025" s="1197"/>
      <c r="B1025" s="317"/>
    </row>
    <row r="1026" spans="1:2">
      <c r="A1026" s="1197"/>
      <c r="B1026" s="317"/>
    </row>
    <row r="1027" spans="1:2">
      <c r="A1027" s="1197"/>
      <c r="B1027" s="317"/>
    </row>
    <row r="1028" spans="1:2">
      <c r="A1028" s="1197"/>
      <c r="B1028" s="317"/>
    </row>
    <row r="1029" spans="1:2">
      <c r="A1029" s="1197"/>
      <c r="B1029" s="317"/>
    </row>
    <row r="1030" spans="1:2">
      <c r="A1030" s="1197"/>
      <c r="B1030" s="317"/>
    </row>
    <row r="1031" spans="1:2">
      <c r="A1031" s="1197"/>
      <c r="B1031" s="317"/>
    </row>
    <row r="1032" spans="1:2">
      <c r="A1032" s="1197"/>
      <c r="B1032" s="317"/>
    </row>
    <row r="1033" spans="1:2">
      <c r="A1033" s="1197"/>
      <c r="B1033" s="317"/>
    </row>
    <row r="1034" spans="1:2">
      <c r="A1034" s="1197"/>
      <c r="B1034" s="317"/>
    </row>
    <row r="1035" spans="1:2">
      <c r="A1035" s="1197"/>
      <c r="B1035" s="317"/>
    </row>
    <row r="1036" spans="1:2">
      <c r="A1036" s="1197"/>
      <c r="B1036" s="317"/>
    </row>
    <row r="1037" spans="1:2">
      <c r="A1037" s="1197"/>
      <c r="B1037" s="317"/>
    </row>
    <row r="1038" spans="1:2">
      <c r="A1038" s="1197"/>
      <c r="B1038" s="317"/>
    </row>
    <row r="1039" spans="1:2">
      <c r="A1039" s="1197"/>
      <c r="B1039" s="317"/>
    </row>
    <row r="1040" spans="1:2">
      <c r="A1040" s="1197"/>
      <c r="B1040" s="317"/>
    </row>
    <row r="1041" spans="1:2">
      <c r="A1041" s="1197"/>
      <c r="B1041" s="317"/>
    </row>
    <row r="1042" spans="1:2">
      <c r="A1042" s="1197"/>
      <c r="B1042" s="317"/>
    </row>
    <row r="1043" spans="1:2">
      <c r="A1043" s="1197"/>
      <c r="B1043" s="317"/>
    </row>
    <row r="1044" spans="1:2">
      <c r="A1044" s="1197"/>
      <c r="B1044" s="317"/>
    </row>
    <row r="1045" spans="1:2">
      <c r="A1045" s="1197"/>
      <c r="B1045" s="317"/>
    </row>
    <row r="1046" spans="1:2">
      <c r="A1046" s="1197"/>
      <c r="B1046" s="317"/>
    </row>
    <row r="1047" spans="1:2">
      <c r="A1047" s="1197"/>
      <c r="B1047" s="317"/>
    </row>
    <row r="1048" spans="1:2">
      <c r="A1048" s="1197"/>
      <c r="B1048" s="317"/>
    </row>
    <row r="1049" spans="1:2">
      <c r="A1049" s="1197"/>
      <c r="B1049" s="317"/>
    </row>
    <row r="1050" spans="1:2">
      <c r="A1050" s="1197"/>
      <c r="B1050" s="317"/>
    </row>
    <row r="1051" spans="1:2">
      <c r="A1051" s="1197"/>
      <c r="B1051" s="317"/>
    </row>
    <row r="1052" spans="1:2">
      <c r="A1052" s="1197"/>
      <c r="B1052" s="317"/>
    </row>
    <row r="1053" spans="1:2">
      <c r="A1053" s="1197"/>
      <c r="B1053" s="317"/>
    </row>
    <row r="1054" spans="1:2">
      <c r="A1054" s="1197"/>
      <c r="B1054" s="317"/>
    </row>
    <row r="1055" spans="1:2">
      <c r="A1055" s="1197"/>
      <c r="B1055" s="317"/>
    </row>
    <row r="1056" spans="1:2">
      <c r="A1056" s="1197"/>
      <c r="B1056" s="317"/>
    </row>
    <row r="1057" spans="1:2">
      <c r="A1057" s="1197"/>
      <c r="B1057" s="317"/>
    </row>
    <row r="1058" spans="1:2">
      <c r="A1058" s="1197"/>
      <c r="B1058" s="317"/>
    </row>
    <row r="1059" spans="1:2">
      <c r="A1059" s="1197"/>
      <c r="B1059" s="317"/>
    </row>
    <row r="1060" spans="1:2">
      <c r="A1060" s="1197"/>
      <c r="B1060" s="317"/>
    </row>
    <row r="1061" spans="1:2">
      <c r="A1061" s="1197"/>
      <c r="B1061" s="317"/>
    </row>
    <row r="1062" spans="1:2">
      <c r="A1062" s="1197"/>
      <c r="B1062" s="317"/>
    </row>
    <row r="1063" spans="1:2">
      <c r="A1063" s="1197"/>
      <c r="B1063" s="317"/>
    </row>
    <row r="1064" spans="1:2">
      <c r="A1064" s="1197"/>
      <c r="B1064" s="317"/>
    </row>
    <row r="1065" spans="1:2">
      <c r="A1065" s="1197"/>
      <c r="B1065" s="317"/>
    </row>
    <row r="1066" spans="1:2">
      <c r="A1066" s="1197"/>
      <c r="B1066" s="317"/>
    </row>
    <row r="1067" spans="1:2">
      <c r="A1067" s="1197"/>
      <c r="B1067" s="317"/>
    </row>
    <row r="1068" spans="1:2">
      <c r="A1068" s="1197"/>
      <c r="B1068" s="317"/>
    </row>
    <row r="1069" spans="1:2">
      <c r="A1069" s="1197"/>
      <c r="B1069" s="317"/>
    </row>
    <row r="1070" spans="1:2">
      <c r="A1070" s="1197"/>
      <c r="B1070" s="317"/>
    </row>
    <row r="1071" spans="1:2">
      <c r="A1071" s="1197"/>
      <c r="B1071" s="317"/>
    </row>
    <row r="1072" spans="1:2">
      <c r="A1072" s="1197"/>
      <c r="B1072" s="317"/>
    </row>
    <row r="1073" spans="1:2">
      <c r="A1073" s="1197"/>
      <c r="B1073" s="317"/>
    </row>
    <row r="1074" spans="1:2">
      <c r="A1074" s="1197"/>
      <c r="B1074" s="317"/>
    </row>
    <row r="1075" spans="1:2">
      <c r="A1075" s="1197"/>
      <c r="B1075" s="317"/>
    </row>
    <row r="1076" spans="1:2">
      <c r="A1076" s="1197"/>
      <c r="B1076" s="317"/>
    </row>
    <row r="1077" spans="1:2">
      <c r="A1077" s="1197"/>
      <c r="B1077" s="317"/>
    </row>
    <row r="1078" spans="1:2">
      <c r="A1078" s="1197"/>
      <c r="B1078" s="317"/>
    </row>
    <row r="1079" spans="1:2">
      <c r="A1079" s="1197"/>
      <c r="B1079" s="317"/>
    </row>
    <row r="1080" spans="1:2">
      <c r="A1080" s="1197"/>
      <c r="B1080" s="317"/>
    </row>
    <row r="1081" spans="1:2">
      <c r="A1081" s="1197"/>
      <c r="B1081" s="317"/>
    </row>
    <row r="1082" spans="1:2">
      <c r="A1082" s="1197"/>
      <c r="B1082" s="317"/>
    </row>
    <row r="1083" spans="1:2">
      <c r="A1083" s="1197"/>
      <c r="B1083" s="317"/>
    </row>
    <row r="1084" spans="1:2">
      <c r="A1084" s="1197"/>
      <c r="B1084" s="317"/>
    </row>
    <row r="1085" spans="1:2">
      <c r="A1085" s="1197"/>
      <c r="B1085" s="317"/>
    </row>
    <row r="1086" spans="1:2">
      <c r="A1086" s="1197"/>
      <c r="B1086" s="317"/>
    </row>
    <row r="1087" spans="1:2">
      <c r="A1087" s="1197"/>
      <c r="B1087" s="317"/>
    </row>
    <row r="1088" spans="1:2">
      <c r="A1088" s="1197"/>
      <c r="B1088" s="317"/>
    </row>
    <row r="1089" spans="1:2">
      <c r="A1089" s="1197"/>
      <c r="B1089" s="317"/>
    </row>
    <row r="1090" spans="1:2">
      <c r="A1090" s="1197"/>
      <c r="B1090" s="317"/>
    </row>
    <row r="1091" spans="1:2">
      <c r="A1091" s="1197"/>
      <c r="B1091" s="317"/>
    </row>
    <row r="1092" spans="1:2">
      <c r="A1092" s="1197"/>
      <c r="B1092" s="317"/>
    </row>
    <row r="1093" spans="1:2">
      <c r="A1093" s="1197"/>
      <c r="B1093" s="317"/>
    </row>
    <row r="1094" spans="1:2">
      <c r="A1094" s="1197"/>
      <c r="B1094" s="317"/>
    </row>
    <row r="1095" spans="1:2">
      <c r="A1095" s="1197"/>
      <c r="B1095" s="317"/>
    </row>
    <row r="1096" spans="1:2">
      <c r="A1096" s="1197"/>
      <c r="B1096" s="317"/>
    </row>
    <row r="1097" spans="1:2">
      <c r="A1097" s="1197"/>
      <c r="B1097" s="317"/>
    </row>
    <row r="1098" spans="1:2">
      <c r="A1098" s="1197"/>
      <c r="B1098" s="317"/>
    </row>
    <row r="1099" spans="1:2">
      <c r="A1099" s="1197"/>
      <c r="B1099" s="317"/>
    </row>
    <row r="1100" spans="1:2">
      <c r="A1100" s="1197"/>
      <c r="B1100" s="317"/>
    </row>
    <row r="1101" spans="1:2">
      <c r="A1101" s="1197"/>
      <c r="B1101" s="317"/>
    </row>
    <row r="1102" spans="1:2">
      <c r="A1102" s="1197"/>
      <c r="B1102" s="317"/>
    </row>
    <row r="1103" spans="1:2">
      <c r="A1103" s="1197"/>
      <c r="B1103" s="317"/>
    </row>
    <row r="1104" spans="1:2">
      <c r="A1104" s="1197"/>
      <c r="B1104" s="317"/>
    </row>
    <row r="1105" spans="1:2">
      <c r="A1105" s="1197"/>
      <c r="B1105" s="317"/>
    </row>
    <row r="1106" spans="1:2">
      <c r="A1106" s="1197"/>
      <c r="B1106" s="317"/>
    </row>
    <row r="1107" spans="1:2">
      <c r="A1107" s="1197"/>
      <c r="B1107" s="317"/>
    </row>
    <row r="1108" spans="1:2">
      <c r="A1108" s="1197"/>
      <c r="B1108" s="317"/>
    </row>
    <row r="1109" spans="1:2">
      <c r="A1109" s="1197"/>
      <c r="B1109" s="317"/>
    </row>
    <row r="1110" spans="1:2">
      <c r="A1110" s="1197"/>
      <c r="B1110" s="317"/>
    </row>
    <row r="1111" spans="1:2">
      <c r="A1111" s="1197"/>
      <c r="B1111" s="317"/>
    </row>
    <row r="1112" spans="1:2">
      <c r="A1112" s="1197"/>
      <c r="B1112" s="317"/>
    </row>
    <row r="1113" spans="1:2">
      <c r="A1113" s="1197"/>
      <c r="B1113" s="317"/>
    </row>
    <row r="1114" spans="1:2">
      <c r="A1114" s="1197"/>
      <c r="B1114" s="317"/>
    </row>
    <row r="1115" spans="1:2">
      <c r="A1115" s="1197"/>
      <c r="B1115" s="317"/>
    </row>
    <row r="1116" spans="1:2">
      <c r="A1116" s="1197"/>
      <c r="B1116" s="317"/>
    </row>
    <row r="1117" spans="1:2">
      <c r="A1117" s="1197"/>
      <c r="B1117" s="317"/>
    </row>
    <row r="1118" spans="1:2">
      <c r="A1118" s="1197"/>
      <c r="B1118" s="317"/>
    </row>
    <row r="1119" spans="1:2">
      <c r="A1119" s="1197"/>
      <c r="B1119" s="317"/>
    </row>
    <row r="1120" spans="1:2">
      <c r="A1120" s="1197"/>
      <c r="B1120" s="317"/>
    </row>
    <row r="1121" spans="1:2">
      <c r="A1121" s="1197"/>
      <c r="B1121" s="317"/>
    </row>
    <row r="1122" spans="1:2">
      <c r="A1122" s="1197"/>
      <c r="B1122" s="317"/>
    </row>
    <row r="1123" spans="1:2">
      <c r="A1123" s="1197"/>
      <c r="B1123" s="317"/>
    </row>
    <row r="1124" spans="1:2">
      <c r="A1124" s="1197"/>
      <c r="B1124" s="317"/>
    </row>
    <row r="1125" spans="1:2">
      <c r="A1125" s="1197"/>
      <c r="B1125" s="317"/>
    </row>
    <row r="1126" spans="1:2">
      <c r="A1126" s="1197"/>
      <c r="B1126" s="317"/>
    </row>
    <row r="1127" spans="1:2">
      <c r="A1127" s="1197"/>
      <c r="B1127" s="317"/>
    </row>
    <row r="1128" spans="1:2">
      <c r="A1128" s="1197"/>
      <c r="B1128" s="317"/>
    </row>
    <row r="1129" spans="1:2">
      <c r="A1129" s="1197"/>
      <c r="B1129" s="317"/>
    </row>
    <row r="1130" spans="1:2">
      <c r="A1130" s="1197"/>
      <c r="B1130" s="317"/>
    </row>
    <row r="1131" spans="1:2">
      <c r="A1131" s="1197"/>
      <c r="B1131" s="317"/>
    </row>
    <row r="1132" spans="1:2">
      <c r="A1132" s="1197"/>
      <c r="B1132" s="317"/>
    </row>
    <row r="1133" spans="1:2">
      <c r="A1133" s="1197"/>
      <c r="B1133" s="317"/>
    </row>
    <row r="1134" spans="1:2">
      <c r="A1134" s="1197"/>
      <c r="B1134" s="317"/>
    </row>
    <row r="1135" spans="1:2">
      <c r="A1135" s="1197"/>
      <c r="B1135" s="317"/>
    </row>
    <row r="1136" spans="1:2">
      <c r="A1136" s="1197"/>
      <c r="B1136" s="317"/>
    </row>
    <row r="1137" spans="1:2">
      <c r="A1137" s="1197"/>
      <c r="B1137" s="317"/>
    </row>
    <row r="1138" spans="1:2">
      <c r="A1138" s="1197"/>
      <c r="B1138" s="317"/>
    </row>
    <row r="1139" spans="1:2">
      <c r="A1139" s="1197"/>
      <c r="B1139" s="317"/>
    </row>
    <row r="1140" spans="1:2">
      <c r="A1140" s="1197"/>
      <c r="B1140" s="317"/>
    </row>
    <row r="1141" spans="1:2">
      <c r="A1141" s="1197"/>
      <c r="B1141" s="317"/>
    </row>
    <row r="1142" spans="1:2">
      <c r="A1142" s="1197"/>
      <c r="B1142" s="317"/>
    </row>
    <row r="1143" spans="1:2">
      <c r="A1143" s="1197"/>
      <c r="B1143" s="317"/>
    </row>
    <row r="1144" spans="1:2">
      <c r="A1144" s="1197"/>
      <c r="B1144" s="317"/>
    </row>
    <row r="1145" spans="1:2">
      <c r="A1145" s="1197"/>
      <c r="B1145" s="317"/>
    </row>
    <row r="1146" spans="1:2">
      <c r="A1146" s="1197"/>
      <c r="B1146" s="317"/>
    </row>
    <row r="1147" spans="1:2">
      <c r="A1147" s="1197"/>
      <c r="B1147" s="317"/>
    </row>
    <row r="1148" spans="1:2">
      <c r="A1148" s="1197"/>
      <c r="B1148" s="317"/>
    </row>
    <row r="1149" spans="1:2">
      <c r="A1149" s="1197"/>
      <c r="B1149" s="317"/>
    </row>
    <row r="1150" spans="1:2">
      <c r="A1150" s="1197"/>
      <c r="B1150" s="317"/>
    </row>
    <row r="1151" spans="1:2">
      <c r="A1151" s="1197"/>
      <c r="B1151" s="317"/>
    </row>
    <row r="1152" spans="1:2">
      <c r="A1152" s="1197"/>
      <c r="B1152" s="317"/>
    </row>
    <row r="1153" spans="1:2">
      <c r="A1153" s="1197"/>
      <c r="B1153" s="317"/>
    </row>
    <row r="1154" spans="1:2">
      <c r="A1154" s="1197"/>
      <c r="B1154" s="317"/>
    </row>
    <row r="1155" spans="1:2">
      <c r="A1155" s="1197"/>
      <c r="B1155" s="317"/>
    </row>
    <row r="1156" spans="1:2">
      <c r="A1156" s="1197"/>
      <c r="B1156" s="317"/>
    </row>
    <row r="1157" spans="1:2">
      <c r="A1157" s="1197"/>
      <c r="B1157" s="317"/>
    </row>
    <row r="1158" spans="1:2">
      <c r="A1158" s="1197"/>
      <c r="B1158" s="317"/>
    </row>
    <row r="1159" spans="1:2">
      <c r="A1159" s="1197"/>
      <c r="B1159" s="317"/>
    </row>
    <row r="1160" spans="1:2">
      <c r="A1160" s="1197"/>
      <c r="B1160" s="317"/>
    </row>
    <row r="1161" spans="1:2">
      <c r="A1161" s="1197"/>
      <c r="B1161" s="317"/>
    </row>
    <row r="1162" spans="1:2">
      <c r="A1162" s="1197"/>
      <c r="B1162" s="317"/>
    </row>
    <row r="1163" spans="1:2">
      <c r="A1163" s="1197"/>
      <c r="B1163" s="317"/>
    </row>
    <row r="1164" spans="1:2">
      <c r="A1164" s="1197"/>
      <c r="B1164" s="317"/>
    </row>
    <row r="1165" spans="1:2">
      <c r="A1165" s="1197"/>
      <c r="B1165" s="317"/>
    </row>
    <row r="1166" spans="1:2">
      <c r="A1166" s="1197"/>
      <c r="B1166" s="317"/>
    </row>
    <row r="1167" spans="1:2">
      <c r="A1167" s="1197"/>
      <c r="B1167" s="317"/>
    </row>
    <row r="1168" spans="1:2">
      <c r="A1168" s="1197"/>
      <c r="B1168" s="317"/>
    </row>
    <row r="1169" spans="1:2">
      <c r="A1169" s="1197"/>
      <c r="B1169" s="317"/>
    </row>
    <row r="1170" spans="1:2">
      <c r="A1170" s="1197"/>
      <c r="B1170" s="317"/>
    </row>
    <row r="1171" spans="1:2">
      <c r="A1171" s="1197"/>
      <c r="B1171" s="317"/>
    </row>
    <row r="1172" spans="1:2">
      <c r="A1172" s="1197"/>
      <c r="B1172" s="317"/>
    </row>
    <row r="1173" spans="1:2">
      <c r="A1173" s="1197"/>
      <c r="B1173" s="317"/>
    </row>
    <row r="1174" spans="1:2">
      <c r="A1174" s="1197"/>
      <c r="B1174" s="317"/>
    </row>
    <row r="1175" spans="1:2">
      <c r="A1175" s="1197"/>
      <c r="B1175" s="317"/>
    </row>
    <row r="1176" spans="1:2">
      <c r="A1176" s="1197"/>
      <c r="B1176" s="317"/>
    </row>
    <row r="1177" spans="1:2">
      <c r="A1177" s="1197"/>
      <c r="B1177" s="317"/>
    </row>
    <row r="1178" spans="1:2">
      <c r="A1178" s="1197"/>
      <c r="B1178" s="317"/>
    </row>
    <row r="1179" spans="1:2">
      <c r="A1179" s="1197"/>
      <c r="B1179" s="317"/>
    </row>
    <row r="1180" spans="1:2">
      <c r="A1180" s="1197"/>
      <c r="B1180" s="317"/>
    </row>
    <row r="1181" spans="1:2">
      <c r="A1181" s="1197"/>
      <c r="B1181" s="317"/>
    </row>
    <row r="1182" spans="1:2">
      <c r="A1182" s="1197"/>
      <c r="B1182" s="317"/>
    </row>
    <row r="1183" spans="1:2">
      <c r="A1183" s="1197"/>
      <c r="B1183" s="317"/>
    </row>
    <row r="1184" spans="1:2">
      <c r="A1184" s="1197"/>
      <c r="B1184" s="317"/>
    </row>
    <row r="1185" spans="1:2">
      <c r="A1185" s="1197"/>
      <c r="B1185" s="317"/>
    </row>
    <row r="1186" spans="1:2">
      <c r="A1186" s="1197"/>
      <c r="B1186" s="317"/>
    </row>
    <row r="1187" spans="1:2">
      <c r="A1187" s="1197"/>
      <c r="B1187" s="317"/>
    </row>
    <row r="1188" spans="1:2">
      <c r="A1188" s="1197"/>
      <c r="B1188" s="317"/>
    </row>
    <row r="1189" spans="1:2">
      <c r="A1189" s="1197"/>
      <c r="B1189" s="317"/>
    </row>
    <row r="1190" spans="1:2">
      <c r="A1190" s="1197"/>
      <c r="B1190" s="317"/>
    </row>
    <row r="1191" spans="1:2">
      <c r="A1191" s="1197"/>
      <c r="B1191" s="317"/>
    </row>
    <row r="1192" spans="1:2">
      <c r="A1192" s="1197"/>
      <c r="B1192" s="317"/>
    </row>
    <row r="1193" spans="1:2">
      <c r="A1193" s="1197"/>
      <c r="B1193" s="317"/>
    </row>
    <row r="1194" spans="1:2">
      <c r="A1194" s="1197"/>
      <c r="B1194" s="317"/>
    </row>
    <row r="1195" spans="1:2">
      <c r="A1195" s="1197"/>
      <c r="B1195" s="317"/>
    </row>
    <row r="1196" spans="1:2">
      <c r="A1196" s="1197"/>
      <c r="B1196" s="317"/>
    </row>
    <row r="1197" spans="1:2">
      <c r="A1197" s="1197"/>
      <c r="B1197" s="317"/>
    </row>
    <row r="1198" spans="1:2">
      <c r="A1198" s="1197"/>
      <c r="B1198" s="317"/>
    </row>
    <row r="1199" spans="1:2">
      <c r="A1199" s="1197"/>
      <c r="B1199" s="317"/>
    </row>
    <row r="1200" spans="1:2">
      <c r="A1200" s="1197"/>
      <c r="B1200" s="317"/>
    </row>
    <row r="1201" spans="1:2">
      <c r="A1201" s="1197"/>
      <c r="B1201" s="317"/>
    </row>
    <row r="1202" spans="1:2">
      <c r="A1202" s="1197"/>
      <c r="B1202" s="317"/>
    </row>
    <row r="1203" spans="1:2">
      <c r="A1203" s="1197"/>
      <c r="B1203" s="317"/>
    </row>
    <row r="1204" spans="1:2">
      <c r="A1204" s="1197"/>
      <c r="B1204" s="317"/>
    </row>
    <row r="1205" spans="1:2">
      <c r="A1205" s="1197"/>
      <c r="B1205" s="317"/>
    </row>
    <row r="1206" spans="1:2">
      <c r="A1206" s="1197"/>
      <c r="B1206" s="317"/>
    </row>
    <row r="1207" spans="1:2">
      <c r="A1207" s="1197"/>
      <c r="B1207" s="317"/>
    </row>
    <row r="1208" spans="1:2">
      <c r="A1208" s="1197"/>
      <c r="B1208" s="317"/>
    </row>
    <row r="1209" spans="1:2">
      <c r="A1209" s="1197"/>
      <c r="B1209" s="317"/>
    </row>
    <row r="1210" spans="1:2">
      <c r="A1210" s="1197"/>
      <c r="B1210" s="317"/>
    </row>
    <row r="1211" spans="1:2">
      <c r="A1211" s="1197"/>
      <c r="B1211" s="317"/>
    </row>
    <row r="1212" spans="1:2">
      <c r="A1212" s="1197"/>
      <c r="B1212" s="317"/>
    </row>
    <row r="1213" spans="1:2">
      <c r="A1213" s="1197"/>
      <c r="B1213" s="317"/>
    </row>
    <row r="1214" spans="1:2">
      <c r="A1214" s="1197"/>
      <c r="B1214" s="317"/>
    </row>
    <row r="1215" spans="1:2">
      <c r="A1215" s="1197"/>
      <c r="B1215" s="317"/>
    </row>
    <row r="1216" spans="1:2">
      <c r="A1216" s="1197"/>
      <c r="B1216" s="317"/>
    </row>
    <row r="1217" spans="1:2">
      <c r="A1217" s="1197"/>
      <c r="B1217" s="317"/>
    </row>
    <row r="1218" spans="1:2">
      <c r="A1218" s="1197"/>
      <c r="B1218" s="317"/>
    </row>
    <row r="1219" spans="1:2">
      <c r="A1219" s="1197"/>
      <c r="B1219" s="317"/>
    </row>
    <row r="1220" spans="1:2">
      <c r="A1220" s="1197"/>
      <c r="B1220" s="317"/>
    </row>
    <row r="1221" spans="1:2">
      <c r="A1221" s="1197"/>
      <c r="B1221" s="317"/>
    </row>
    <row r="1222" spans="1:2">
      <c r="A1222" s="1197"/>
      <c r="B1222" s="317"/>
    </row>
    <row r="1223" spans="1:2">
      <c r="A1223" s="1197"/>
      <c r="B1223" s="317"/>
    </row>
    <row r="1224" spans="1:2">
      <c r="A1224" s="1197"/>
      <c r="B1224" s="317"/>
    </row>
    <row r="1225" spans="1:2">
      <c r="A1225" s="1197"/>
      <c r="B1225" s="317"/>
    </row>
    <row r="1226" spans="1:2">
      <c r="A1226" s="1197"/>
      <c r="B1226" s="317"/>
    </row>
    <row r="1227" spans="1:2">
      <c r="A1227" s="1197"/>
      <c r="B1227" s="317"/>
    </row>
    <row r="1228" spans="1:2">
      <c r="A1228" s="1197"/>
      <c r="B1228" s="317"/>
    </row>
    <row r="1229" spans="1:2">
      <c r="A1229" s="1197"/>
      <c r="B1229" s="317"/>
    </row>
    <row r="1230" spans="1:2">
      <c r="A1230" s="1197"/>
      <c r="B1230" s="317"/>
    </row>
    <row r="1231" spans="1:2">
      <c r="A1231" s="1197"/>
      <c r="B1231" s="317"/>
    </row>
    <row r="1232" spans="1:2">
      <c r="A1232" s="1197"/>
      <c r="B1232" s="317"/>
    </row>
    <row r="1233" spans="1:2">
      <c r="A1233" s="1197"/>
      <c r="B1233" s="317"/>
    </row>
    <row r="1234" spans="1:2">
      <c r="A1234" s="1197"/>
      <c r="B1234" s="317"/>
    </row>
    <row r="1235" spans="1:2">
      <c r="A1235" s="1197"/>
      <c r="B1235" s="317"/>
    </row>
    <row r="1236" spans="1:2">
      <c r="A1236" s="1197"/>
      <c r="B1236" s="317"/>
    </row>
    <row r="1237" spans="1:2">
      <c r="A1237" s="1197"/>
      <c r="B1237" s="317"/>
    </row>
    <row r="1238" spans="1:2">
      <c r="A1238" s="1197"/>
      <c r="B1238" s="317"/>
    </row>
    <row r="1239" spans="1:2">
      <c r="A1239" s="1197"/>
      <c r="B1239" s="317"/>
    </row>
    <row r="1240" spans="1:2">
      <c r="A1240" s="1197"/>
      <c r="B1240" s="317"/>
    </row>
    <row r="1241" spans="1:2">
      <c r="A1241" s="1197"/>
      <c r="B1241" s="317"/>
    </row>
    <row r="1242" spans="1:2">
      <c r="A1242" s="1197"/>
      <c r="B1242" s="317"/>
    </row>
    <row r="1243" spans="1:2">
      <c r="A1243" s="1197"/>
      <c r="B1243" s="317"/>
    </row>
    <row r="1244" spans="1:2">
      <c r="A1244" s="1197"/>
      <c r="B1244" s="317"/>
    </row>
    <row r="1245" spans="1:2">
      <c r="A1245" s="1197"/>
      <c r="B1245" s="317"/>
    </row>
    <row r="1246" spans="1:2">
      <c r="A1246" s="1197"/>
      <c r="B1246" s="317"/>
    </row>
    <row r="1247" spans="1:2">
      <c r="A1247" s="1197"/>
      <c r="B1247" s="317"/>
    </row>
    <row r="1248" spans="1:2">
      <c r="A1248" s="1197"/>
      <c r="B1248" s="317"/>
    </row>
    <row r="1249" spans="1:2">
      <c r="A1249" s="1197"/>
      <c r="B1249" s="317"/>
    </row>
    <row r="1250" spans="1:2">
      <c r="A1250" s="1197"/>
      <c r="B1250" s="317"/>
    </row>
    <row r="1251" spans="1:2">
      <c r="A1251" s="1197"/>
      <c r="B1251" s="317"/>
    </row>
    <row r="1252" spans="1:2">
      <c r="A1252" s="1197"/>
      <c r="B1252" s="317"/>
    </row>
    <row r="1253" spans="1:2">
      <c r="A1253" s="1197"/>
      <c r="B1253" s="317"/>
    </row>
    <row r="1254" spans="1:2">
      <c r="A1254" s="1197"/>
      <c r="B1254" s="317"/>
    </row>
    <row r="1255" spans="1:2">
      <c r="A1255" s="1197"/>
      <c r="B1255" s="317"/>
    </row>
    <row r="1256" spans="1:2">
      <c r="A1256" s="1197"/>
      <c r="B1256" s="317"/>
    </row>
    <row r="1257" spans="1:2">
      <c r="A1257" s="1197"/>
      <c r="B1257" s="317"/>
    </row>
    <row r="1258" spans="1:2">
      <c r="A1258" s="1197"/>
      <c r="B1258" s="317"/>
    </row>
    <row r="1259" spans="1:2">
      <c r="A1259" s="1197"/>
      <c r="B1259" s="317"/>
    </row>
    <row r="1260" spans="1:2">
      <c r="A1260" s="1197"/>
      <c r="B1260" s="317"/>
    </row>
    <row r="1261" spans="1:2">
      <c r="A1261" s="1197"/>
      <c r="B1261" s="317"/>
    </row>
    <row r="1262" spans="1:2">
      <c r="A1262" s="1197"/>
      <c r="B1262" s="317"/>
    </row>
    <row r="1263" spans="1:2">
      <c r="A1263" s="1197"/>
      <c r="B1263" s="317"/>
    </row>
    <row r="1264" spans="1:2">
      <c r="A1264" s="1197"/>
      <c r="B1264" s="317"/>
    </row>
    <row r="1265" spans="1:2">
      <c r="A1265" s="1197"/>
      <c r="B1265" s="317"/>
    </row>
    <row r="1266" spans="1:2">
      <c r="A1266" s="1197"/>
      <c r="B1266" s="317"/>
    </row>
    <row r="1267" spans="1:2">
      <c r="A1267" s="1197"/>
      <c r="B1267" s="317"/>
    </row>
    <row r="1268" spans="1:2">
      <c r="A1268" s="1197"/>
      <c r="B1268" s="317"/>
    </row>
    <row r="1269" spans="1:2">
      <c r="A1269" s="1197"/>
      <c r="B1269" s="317"/>
    </row>
    <row r="1270" spans="1:2">
      <c r="A1270" s="1197"/>
      <c r="B1270" s="317"/>
    </row>
    <row r="1271" spans="1:2">
      <c r="A1271" s="1197"/>
      <c r="B1271" s="317"/>
    </row>
    <row r="1272" spans="1:2">
      <c r="A1272" s="1197"/>
      <c r="B1272" s="317"/>
    </row>
    <row r="1273" spans="1:2">
      <c r="A1273" s="1197"/>
      <c r="B1273" s="317"/>
    </row>
    <row r="1274" spans="1:2">
      <c r="A1274" s="1197"/>
      <c r="B1274" s="317"/>
    </row>
    <row r="1275" spans="1:2">
      <c r="A1275" s="1197"/>
      <c r="B1275" s="317"/>
    </row>
    <row r="1276" spans="1:2">
      <c r="A1276" s="1197"/>
      <c r="B1276" s="317"/>
    </row>
    <row r="1277" spans="1:2">
      <c r="A1277" s="1197"/>
      <c r="B1277" s="317"/>
    </row>
    <row r="1278" spans="1:2">
      <c r="A1278" s="1197"/>
      <c r="B1278" s="317"/>
    </row>
    <row r="1279" spans="1:2">
      <c r="A1279" s="1197"/>
      <c r="B1279" s="317"/>
    </row>
    <row r="1280" spans="1:2">
      <c r="A1280" s="1197"/>
      <c r="B1280" s="317"/>
    </row>
    <row r="1281" spans="1:2">
      <c r="A1281" s="1197"/>
      <c r="B1281" s="317"/>
    </row>
    <row r="1282" spans="1:2">
      <c r="A1282" s="1197"/>
      <c r="B1282" s="317"/>
    </row>
    <row r="1283" spans="1:2">
      <c r="A1283" s="1197"/>
      <c r="B1283" s="317"/>
    </row>
    <row r="1284" spans="1:2">
      <c r="A1284" s="1197"/>
      <c r="B1284" s="317"/>
    </row>
    <row r="1285" spans="1:2">
      <c r="A1285" s="1197"/>
      <c r="B1285" s="317"/>
    </row>
    <row r="1286" spans="1:2">
      <c r="A1286" s="1197"/>
      <c r="B1286" s="317"/>
    </row>
    <row r="1287" spans="1:2">
      <c r="A1287" s="1197"/>
      <c r="B1287" s="317"/>
    </row>
    <row r="1288" spans="1:2">
      <c r="A1288" s="1197"/>
      <c r="B1288" s="317"/>
    </row>
    <row r="1289" spans="1:2">
      <c r="A1289" s="1197"/>
      <c r="B1289" s="317"/>
    </row>
    <row r="1290" spans="1:2">
      <c r="A1290" s="1197"/>
      <c r="B1290" s="317"/>
    </row>
    <row r="1291" spans="1:2">
      <c r="A1291" s="1197"/>
      <c r="B1291" s="317"/>
    </row>
    <row r="1292" spans="1:2">
      <c r="A1292" s="1197"/>
      <c r="B1292" s="317"/>
    </row>
    <row r="1293" spans="1:2">
      <c r="A1293" s="1197"/>
      <c r="B1293" s="317"/>
    </row>
    <row r="1294" spans="1:2">
      <c r="A1294" s="1197"/>
      <c r="B1294" s="317"/>
    </row>
    <row r="1295" spans="1:2">
      <c r="A1295" s="1197"/>
      <c r="B1295" s="317"/>
    </row>
    <row r="1296" spans="1:2">
      <c r="A1296" s="1197"/>
      <c r="B1296" s="317"/>
    </row>
    <row r="1297" spans="1:2">
      <c r="A1297" s="1197"/>
      <c r="B1297" s="317"/>
    </row>
    <row r="1298" spans="1:2">
      <c r="A1298" s="1197"/>
      <c r="B1298" s="317"/>
    </row>
    <row r="1299" spans="1:2">
      <c r="A1299" s="1197"/>
      <c r="B1299" s="317"/>
    </row>
    <row r="1300" spans="1:2">
      <c r="A1300" s="1197"/>
      <c r="B1300" s="317"/>
    </row>
    <row r="1301" spans="1:2">
      <c r="A1301" s="1197"/>
      <c r="B1301" s="317"/>
    </row>
    <row r="1302" spans="1:2">
      <c r="A1302" s="1197"/>
      <c r="B1302" s="317"/>
    </row>
    <row r="1303" spans="1:2">
      <c r="A1303" s="1197"/>
      <c r="B1303" s="317"/>
    </row>
    <row r="1304" spans="1:2">
      <c r="A1304" s="1197"/>
      <c r="B1304" s="317"/>
    </row>
    <row r="1305" spans="1:2">
      <c r="A1305" s="1197"/>
      <c r="B1305" s="317"/>
    </row>
    <row r="1306" spans="1:2">
      <c r="A1306" s="1197"/>
      <c r="B1306" s="317"/>
    </row>
    <row r="1307" spans="1:2">
      <c r="A1307" s="1197"/>
      <c r="B1307" s="317"/>
    </row>
    <row r="1308" spans="1:2">
      <c r="A1308" s="1197"/>
      <c r="B1308" s="317"/>
    </row>
    <row r="1309" spans="1:2">
      <c r="A1309" s="1197"/>
      <c r="B1309" s="317"/>
    </row>
    <row r="1310" spans="1:2">
      <c r="A1310" s="1197"/>
      <c r="B1310" s="317"/>
    </row>
    <row r="1311" spans="1:2">
      <c r="A1311" s="1197"/>
      <c r="B1311" s="317"/>
    </row>
    <row r="1312" spans="1:2">
      <c r="A1312" s="1197"/>
      <c r="B1312" s="317"/>
    </row>
    <row r="1313" spans="1:2">
      <c r="A1313" s="1197"/>
      <c r="B1313" s="317"/>
    </row>
    <row r="1314" spans="1:2">
      <c r="A1314" s="1197"/>
      <c r="B1314" s="317"/>
    </row>
    <row r="1315" spans="1:2">
      <c r="A1315" s="1197"/>
      <c r="B1315" s="317"/>
    </row>
    <row r="1316" spans="1:2">
      <c r="A1316" s="1197"/>
      <c r="B1316" s="317"/>
    </row>
    <row r="1317" spans="1:2">
      <c r="A1317" s="1197"/>
      <c r="B1317" s="317"/>
    </row>
    <row r="1318" spans="1:2">
      <c r="A1318" s="1197"/>
      <c r="B1318" s="317"/>
    </row>
    <row r="1319" spans="1:2">
      <c r="A1319" s="1197"/>
      <c r="B1319" s="317"/>
    </row>
    <row r="1320" spans="1:2">
      <c r="A1320" s="1197"/>
      <c r="B1320" s="317"/>
    </row>
    <row r="1321" spans="1:2">
      <c r="A1321" s="1197"/>
      <c r="B1321" s="317"/>
    </row>
    <row r="1322" spans="1:2">
      <c r="A1322" s="1197"/>
      <c r="B1322" s="317"/>
    </row>
    <row r="1323" spans="1:2">
      <c r="A1323" s="1197"/>
      <c r="B1323" s="317"/>
    </row>
    <row r="1324" spans="1:2">
      <c r="A1324" s="1197"/>
      <c r="B1324" s="317"/>
    </row>
    <row r="1325" spans="1:2">
      <c r="A1325" s="1197"/>
      <c r="B1325" s="317"/>
    </row>
    <row r="1326" spans="1:2">
      <c r="A1326" s="1197"/>
      <c r="B1326" s="317"/>
    </row>
    <row r="1327" spans="1:2">
      <c r="A1327" s="1197"/>
      <c r="B1327" s="317"/>
    </row>
    <row r="1328" spans="1:2">
      <c r="A1328" s="1197"/>
      <c r="B1328" s="317"/>
    </row>
    <row r="1329" spans="1:2">
      <c r="A1329" s="1197"/>
      <c r="B1329" s="317"/>
    </row>
    <row r="1330" spans="1:2">
      <c r="A1330" s="1197"/>
      <c r="B1330" s="317"/>
    </row>
    <row r="1331" spans="1:2">
      <c r="A1331" s="1197"/>
      <c r="B1331" s="317"/>
    </row>
    <row r="1332" spans="1:2">
      <c r="A1332" s="1197"/>
      <c r="B1332" s="317"/>
    </row>
    <row r="1333" spans="1:2">
      <c r="A1333" s="1197"/>
      <c r="B1333" s="317"/>
    </row>
    <row r="1334" spans="1:2">
      <c r="A1334" s="1197"/>
      <c r="B1334" s="317"/>
    </row>
    <row r="1335" spans="1:2">
      <c r="A1335" s="1197"/>
      <c r="B1335" s="317"/>
    </row>
    <row r="1336" spans="1:2">
      <c r="A1336" s="1197"/>
      <c r="B1336" s="317"/>
    </row>
    <row r="1337" spans="1:2">
      <c r="A1337" s="1197"/>
      <c r="B1337" s="317"/>
    </row>
    <row r="1338" spans="1:2">
      <c r="A1338" s="1197"/>
      <c r="B1338" s="317"/>
    </row>
    <row r="1339" spans="1:2">
      <c r="A1339" s="1197"/>
      <c r="B1339" s="317"/>
    </row>
    <row r="1340" spans="1:2">
      <c r="A1340" s="1197"/>
      <c r="B1340" s="317"/>
    </row>
    <row r="1341" spans="1:2">
      <c r="A1341" s="1197"/>
      <c r="B1341" s="317"/>
    </row>
    <row r="1342" spans="1:2">
      <c r="A1342" s="1197"/>
      <c r="B1342" s="317"/>
    </row>
    <row r="1343" spans="1:2">
      <c r="A1343" s="1197"/>
      <c r="B1343" s="317"/>
    </row>
    <row r="1344" spans="1:2">
      <c r="A1344" s="1197"/>
      <c r="B1344" s="317"/>
    </row>
    <row r="1345" spans="1:2">
      <c r="A1345" s="1197"/>
      <c r="B1345" s="317"/>
    </row>
    <row r="1346" spans="1:2">
      <c r="A1346" s="1197"/>
      <c r="B1346" s="317"/>
    </row>
    <row r="1347" spans="1:2">
      <c r="A1347" s="1197"/>
      <c r="B1347" s="317"/>
    </row>
    <row r="1348" spans="1:2">
      <c r="A1348" s="1197"/>
      <c r="B1348" s="317"/>
    </row>
    <row r="1349" spans="1:2">
      <c r="A1349" s="1197"/>
      <c r="B1349" s="317"/>
    </row>
    <row r="1350" spans="1:2">
      <c r="A1350" s="1197"/>
      <c r="B1350" s="317"/>
    </row>
    <row r="1351" spans="1:2">
      <c r="A1351" s="1197"/>
      <c r="B1351" s="317"/>
    </row>
    <row r="1352" spans="1:2">
      <c r="A1352" s="1197"/>
      <c r="B1352" s="317"/>
    </row>
    <row r="1353" spans="1:2">
      <c r="A1353" s="1197"/>
      <c r="B1353" s="317"/>
    </row>
    <row r="1354" spans="1:2">
      <c r="A1354" s="1197"/>
      <c r="B1354" s="317"/>
    </row>
    <row r="1355" spans="1:2">
      <c r="A1355" s="1197"/>
      <c r="B1355" s="317"/>
    </row>
    <row r="1356" spans="1:2">
      <c r="A1356" s="1197"/>
      <c r="B1356" s="317"/>
    </row>
    <row r="1357" spans="1:2">
      <c r="A1357" s="1197"/>
      <c r="B1357" s="317"/>
    </row>
    <row r="1358" spans="1:2">
      <c r="A1358" s="1197"/>
      <c r="B1358" s="317"/>
    </row>
    <row r="1359" spans="1:2">
      <c r="A1359" s="1197"/>
      <c r="B1359" s="317"/>
    </row>
    <row r="1360" spans="1:2">
      <c r="A1360" s="1197"/>
      <c r="B1360" s="317"/>
    </row>
    <row r="1361" spans="1:2">
      <c r="A1361" s="1197"/>
      <c r="B1361" s="317"/>
    </row>
    <row r="1362" spans="1:2">
      <c r="A1362" s="1197"/>
      <c r="B1362" s="317"/>
    </row>
    <row r="1363" spans="1:2">
      <c r="A1363" s="1197"/>
      <c r="B1363" s="317"/>
    </row>
    <row r="1364" spans="1:2">
      <c r="A1364" s="1197"/>
      <c r="B1364" s="317"/>
    </row>
    <row r="1365" spans="1:2">
      <c r="A1365" s="1197"/>
      <c r="B1365" s="317"/>
    </row>
    <row r="1366" spans="1:2">
      <c r="A1366" s="1197"/>
      <c r="B1366" s="317"/>
    </row>
    <row r="1367" spans="1:2">
      <c r="A1367" s="1197"/>
      <c r="B1367" s="317"/>
    </row>
    <row r="1368" spans="1:2">
      <c r="A1368" s="1197"/>
      <c r="B1368" s="317"/>
    </row>
    <row r="1369" spans="1:2">
      <c r="A1369" s="1197"/>
      <c r="B1369" s="317"/>
    </row>
    <row r="1370" spans="1:2">
      <c r="A1370" s="1197"/>
      <c r="B1370" s="317"/>
    </row>
    <row r="1371" spans="1:2">
      <c r="A1371" s="1197"/>
      <c r="B1371" s="317"/>
    </row>
    <row r="1372" spans="1:2">
      <c r="A1372" s="1197"/>
      <c r="B1372" s="317"/>
    </row>
    <row r="1373" spans="1:2">
      <c r="A1373" s="1197"/>
      <c r="B1373" s="317"/>
    </row>
    <row r="1374" spans="1:2">
      <c r="A1374" s="1197"/>
      <c r="B1374" s="317"/>
    </row>
    <row r="1375" spans="1:2">
      <c r="A1375" s="1197"/>
      <c r="B1375" s="317"/>
    </row>
    <row r="1376" spans="1:2">
      <c r="A1376" s="1197"/>
      <c r="B1376" s="317"/>
    </row>
    <row r="1377" spans="1:2">
      <c r="A1377" s="1197"/>
      <c r="B1377" s="317"/>
    </row>
    <row r="1378" spans="1:2">
      <c r="A1378" s="1197"/>
      <c r="B1378" s="317"/>
    </row>
    <row r="1379" spans="1:2">
      <c r="A1379" s="1197"/>
      <c r="B1379" s="317"/>
    </row>
    <row r="1380" spans="1:2">
      <c r="A1380" s="1197"/>
      <c r="B1380" s="317"/>
    </row>
    <row r="1381" spans="1:2">
      <c r="A1381" s="1197"/>
      <c r="B1381" s="317"/>
    </row>
    <row r="1382" spans="1:2">
      <c r="A1382" s="1197"/>
      <c r="B1382" s="317"/>
    </row>
    <row r="1383" spans="1:2">
      <c r="A1383" s="1197"/>
      <c r="B1383" s="317"/>
    </row>
    <row r="1384" spans="1:2">
      <c r="A1384" s="1197"/>
      <c r="B1384" s="317"/>
    </row>
    <row r="1385" spans="1:2">
      <c r="A1385" s="1197"/>
      <c r="B1385" s="317"/>
    </row>
    <row r="1386" spans="1:2">
      <c r="A1386" s="1197"/>
      <c r="B1386" s="317"/>
    </row>
    <row r="1387" spans="1:2">
      <c r="A1387" s="1197"/>
      <c r="B1387" s="317"/>
    </row>
    <row r="1388" spans="1:2">
      <c r="A1388" s="1197"/>
      <c r="B1388" s="317"/>
    </row>
    <row r="1389" spans="1:2">
      <c r="A1389" s="1197"/>
      <c r="B1389" s="317"/>
    </row>
    <row r="1390" spans="1:2">
      <c r="A1390" s="1197"/>
      <c r="B1390" s="317"/>
    </row>
    <row r="1391" spans="1:2">
      <c r="A1391" s="1197"/>
      <c r="B1391" s="317"/>
    </row>
    <row r="1392" spans="1:2">
      <c r="A1392" s="1197"/>
      <c r="B1392" s="317"/>
    </row>
    <row r="1393" spans="1:2">
      <c r="A1393" s="1197"/>
      <c r="B1393" s="317"/>
    </row>
    <row r="1394" spans="1:2">
      <c r="A1394" s="1197"/>
      <c r="B1394" s="317"/>
    </row>
    <row r="1395" spans="1:2">
      <c r="A1395" s="1197"/>
      <c r="B1395" s="317"/>
    </row>
    <row r="1396" spans="1:2">
      <c r="A1396" s="1197"/>
      <c r="B1396" s="317"/>
    </row>
    <row r="1397" spans="1:2">
      <c r="A1397" s="1197"/>
      <c r="B1397" s="317"/>
    </row>
    <row r="1398" spans="1:2">
      <c r="A1398" s="1197"/>
      <c r="B1398" s="317"/>
    </row>
    <row r="1399" spans="1:2">
      <c r="A1399" s="1197"/>
      <c r="B1399" s="317"/>
    </row>
    <row r="1400" spans="1:2">
      <c r="A1400" s="1197"/>
      <c r="B1400" s="317"/>
    </row>
    <row r="1401" spans="1:2">
      <c r="A1401" s="1197"/>
      <c r="B1401" s="317"/>
    </row>
    <row r="1402" spans="1:2">
      <c r="A1402" s="1197"/>
      <c r="B1402" s="317"/>
    </row>
    <row r="1403" spans="1:2">
      <c r="A1403" s="1197"/>
      <c r="B1403" s="317"/>
    </row>
    <row r="1404" spans="1:2">
      <c r="A1404" s="1197"/>
      <c r="B1404" s="317"/>
    </row>
    <row r="1405" spans="1:2">
      <c r="A1405" s="1197"/>
      <c r="B1405" s="317"/>
    </row>
    <row r="1406" spans="1:2">
      <c r="A1406" s="1197"/>
      <c r="B1406" s="317"/>
    </row>
    <row r="1407" spans="1:2">
      <c r="A1407" s="1197"/>
      <c r="B1407" s="317"/>
    </row>
    <row r="1408" spans="1:2">
      <c r="A1408" s="1197"/>
      <c r="B1408" s="317"/>
    </row>
    <row r="1409" spans="1:2">
      <c r="A1409" s="1197"/>
      <c r="B1409" s="317"/>
    </row>
    <row r="1410" spans="1:2">
      <c r="A1410" s="1197"/>
      <c r="B1410" s="317"/>
    </row>
    <row r="1411" spans="1:2">
      <c r="A1411" s="1197"/>
      <c r="B1411" s="317"/>
    </row>
    <row r="1412" spans="1:2">
      <c r="A1412" s="1197"/>
      <c r="B1412" s="317"/>
    </row>
    <row r="1413" spans="1:2">
      <c r="A1413" s="1197"/>
      <c r="B1413" s="317"/>
    </row>
    <row r="1414" spans="1:2">
      <c r="A1414" s="1197"/>
      <c r="B1414" s="317"/>
    </row>
    <row r="1415" spans="1:2">
      <c r="A1415" s="1197"/>
      <c r="B1415" s="317"/>
    </row>
    <row r="1416" spans="1:2">
      <c r="A1416" s="1197"/>
      <c r="B1416" s="317"/>
    </row>
    <row r="1417" spans="1:2">
      <c r="A1417" s="1197"/>
      <c r="B1417" s="317"/>
    </row>
    <row r="1418" spans="1:2">
      <c r="A1418" s="1197"/>
      <c r="B1418" s="317"/>
    </row>
    <row r="1419" spans="1:2">
      <c r="A1419" s="1197"/>
      <c r="B1419" s="317"/>
    </row>
    <row r="1420" spans="1:2">
      <c r="A1420" s="1197"/>
      <c r="B1420" s="317"/>
    </row>
    <row r="1421" spans="1:2">
      <c r="A1421" s="1197"/>
      <c r="B1421" s="317"/>
    </row>
    <row r="1422" spans="1:2">
      <c r="A1422" s="1197"/>
      <c r="B1422" s="317"/>
    </row>
    <row r="1423" spans="1:2">
      <c r="A1423" s="1197"/>
      <c r="B1423" s="317"/>
    </row>
    <row r="1424" spans="1:2">
      <c r="A1424" s="1197"/>
      <c r="B1424" s="317"/>
    </row>
    <row r="1425" spans="1:2">
      <c r="A1425" s="1197"/>
      <c r="B1425" s="317"/>
    </row>
    <row r="1426" spans="1:2">
      <c r="A1426" s="1197"/>
      <c r="B1426" s="317"/>
    </row>
    <row r="1427" spans="1:2">
      <c r="A1427" s="1197"/>
      <c r="B1427" s="317"/>
    </row>
    <row r="1428" spans="1:2">
      <c r="A1428" s="1197"/>
      <c r="B1428" s="317"/>
    </row>
    <row r="1429" spans="1:2">
      <c r="A1429" s="1197"/>
      <c r="B1429" s="317"/>
    </row>
    <row r="1430" spans="1:2">
      <c r="A1430" s="1197"/>
      <c r="B1430" s="317"/>
    </row>
    <row r="1431" spans="1:2">
      <c r="A1431" s="1197"/>
      <c r="B1431" s="317"/>
    </row>
    <row r="1432" spans="1:2">
      <c r="A1432" s="1197"/>
      <c r="B1432" s="317"/>
    </row>
    <row r="1433" spans="1:2">
      <c r="A1433" s="1197"/>
      <c r="B1433" s="317"/>
    </row>
    <row r="1434" spans="1:2">
      <c r="A1434" s="1197"/>
      <c r="B1434" s="317"/>
    </row>
    <row r="1435" spans="1:2">
      <c r="A1435" s="1197"/>
      <c r="B1435" s="317"/>
    </row>
    <row r="1436" spans="1:2">
      <c r="A1436" s="1197"/>
      <c r="B1436" s="317"/>
    </row>
    <row r="1437" spans="1:2">
      <c r="A1437" s="1197"/>
      <c r="B1437" s="317"/>
    </row>
    <row r="1438" spans="1:2">
      <c r="A1438" s="1197"/>
      <c r="B1438" s="317"/>
    </row>
    <row r="1439" spans="1:2">
      <c r="A1439" s="1197"/>
      <c r="B1439" s="317"/>
    </row>
    <row r="1440" spans="1:2">
      <c r="A1440" s="1197"/>
      <c r="B1440" s="317"/>
    </row>
    <row r="1441" spans="1:2">
      <c r="A1441" s="1197"/>
      <c r="B1441" s="317"/>
    </row>
    <row r="1442" spans="1:2">
      <c r="A1442" s="1197"/>
      <c r="B1442" s="317"/>
    </row>
    <row r="1443" spans="1:2">
      <c r="A1443" s="1197"/>
      <c r="B1443" s="317"/>
    </row>
    <row r="1444" spans="1:2">
      <c r="A1444" s="1197"/>
      <c r="B1444" s="317"/>
    </row>
    <row r="1445" spans="1:2">
      <c r="A1445" s="1197"/>
      <c r="B1445" s="317"/>
    </row>
    <row r="1446" spans="1:2">
      <c r="A1446" s="1197"/>
      <c r="B1446" s="317"/>
    </row>
    <row r="1447" spans="1:2">
      <c r="A1447" s="1197"/>
      <c r="B1447" s="317"/>
    </row>
    <row r="1448" spans="1:2">
      <c r="A1448" s="1197"/>
      <c r="B1448" s="317"/>
    </row>
    <row r="1449" spans="1:2">
      <c r="A1449" s="1197"/>
      <c r="B1449" s="317"/>
    </row>
    <row r="1450" spans="1:2">
      <c r="A1450" s="1197"/>
      <c r="B1450" s="317"/>
    </row>
    <row r="1451" spans="1:2">
      <c r="A1451" s="1197"/>
      <c r="B1451" s="317"/>
    </row>
    <row r="1452" spans="1:2">
      <c r="A1452" s="1197"/>
      <c r="B1452" s="317"/>
    </row>
    <row r="1453" spans="1:2">
      <c r="A1453" s="1197"/>
      <c r="B1453" s="317"/>
    </row>
    <row r="1454" spans="1:2">
      <c r="A1454" s="1197"/>
      <c r="B1454" s="317"/>
    </row>
    <row r="1455" spans="1:2">
      <c r="A1455" s="1197"/>
      <c r="B1455" s="317"/>
    </row>
    <row r="1456" spans="1:2">
      <c r="A1456" s="1197"/>
      <c r="B1456" s="317"/>
    </row>
    <row r="1457" spans="1:2">
      <c r="A1457" s="1197"/>
      <c r="B1457" s="317"/>
    </row>
    <row r="1458" spans="1:2">
      <c r="A1458" s="1197"/>
      <c r="B1458" s="317"/>
    </row>
    <row r="1459" spans="1:2">
      <c r="A1459" s="1197"/>
      <c r="B1459" s="317"/>
    </row>
    <row r="1460" spans="1:2">
      <c r="A1460" s="1197"/>
      <c r="B1460" s="317"/>
    </row>
    <row r="1461" spans="1:2">
      <c r="A1461" s="1197"/>
      <c r="B1461" s="317"/>
    </row>
    <row r="1462" spans="1:2">
      <c r="A1462" s="1197"/>
      <c r="B1462" s="317"/>
    </row>
    <row r="1463" spans="1:2">
      <c r="A1463" s="1197"/>
      <c r="B1463" s="317"/>
    </row>
    <row r="1464" spans="1:2">
      <c r="A1464" s="1197"/>
      <c r="B1464" s="317"/>
    </row>
    <row r="1465" spans="1:2">
      <c r="A1465" s="1197"/>
      <c r="B1465" s="317"/>
    </row>
    <row r="1466" spans="1:2">
      <c r="A1466" s="1197"/>
      <c r="B1466" s="317"/>
    </row>
    <row r="1467" spans="1:2">
      <c r="A1467" s="1197"/>
      <c r="B1467" s="317"/>
    </row>
    <row r="1468" spans="1:2">
      <c r="A1468" s="1197"/>
      <c r="B1468" s="317"/>
    </row>
    <row r="1469" spans="1:2">
      <c r="A1469" s="1197"/>
      <c r="B1469" s="317"/>
    </row>
    <row r="1470" spans="1:2">
      <c r="A1470" s="1197"/>
      <c r="B1470" s="317"/>
    </row>
    <row r="1471" spans="1:2">
      <c r="A1471" s="1197"/>
      <c r="B1471" s="317"/>
    </row>
    <row r="1472" spans="1:2">
      <c r="A1472" s="1197"/>
      <c r="B1472" s="317"/>
    </row>
    <row r="1473" spans="1:2">
      <c r="A1473" s="1197"/>
      <c r="B1473" s="317"/>
    </row>
    <row r="1474" spans="1:2">
      <c r="A1474" s="1197"/>
      <c r="B1474" s="317"/>
    </row>
    <row r="1475" spans="1:2">
      <c r="A1475" s="1197"/>
      <c r="B1475" s="317"/>
    </row>
    <row r="1476" spans="1:2">
      <c r="A1476" s="1197"/>
      <c r="B1476" s="317"/>
    </row>
    <row r="1477" spans="1:2">
      <c r="A1477" s="1197"/>
      <c r="B1477" s="317"/>
    </row>
    <row r="1478" spans="1:2">
      <c r="A1478" s="1197"/>
      <c r="B1478" s="317"/>
    </row>
    <row r="1479" spans="1:2">
      <c r="A1479" s="1197"/>
      <c r="B1479" s="317"/>
    </row>
    <row r="1480" spans="1:2">
      <c r="A1480" s="1197"/>
      <c r="B1480" s="317"/>
    </row>
    <row r="1481" spans="1:2">
      <c r="A1481" s="1197"/>
      <c r="B1481" s="317"/>
    </row>
    <row r="1482" spans="1:2">
      <c r="A1482" s="1197"/>
      <c r="B1482" s="317"/>
    </row>
    <row r="1483" spans="1:2">
      <c r="A1483" s="1197"/>
      <c r="B1483" s="317"/>
    </row>
    <row r="1484" spans="1:2">
      <c r="A1484" s="1197"/>
      <c r="B1484" s="317"/>
    </row>
    <row r="1485" spans="1:2">
      <c r="A1485" s="1197"/>
      <c r="B1485" s="317"/>
    </row>
    <row r="1486" spans="1:2">
      <c r="A1486" s="1197"/>
      <c r="B1486" s="317"/>
    </row>
    <row r="1487" spans="1:2">
      <c r="A1487" s="1197"/>
      <c r="B1487" s="317"/>
    </row>
    <row r="1488" spans="1:2">
      <c r="A1488" s="1197"/>
      <c r="B1488" s="317"/>
    </row>
    <row r="1489" spans="1:2">
      <c r="A1489" s="1197"/>
      <c r="B1489" s="317"/>
    </row>
    <row r="1490" spans="1:2">
      <c r="A1490" s="1197"/>
      <c r="B1490" s="317"/>
    </row>
    <row r="1491" spans="1:2">
      <c r="A1491" s="1197"/>
      <c r="B1491" s="317"/>
    </row>
    <row r="1492" spans="1:2">
      <c r="A1492" s="1197"/>
      <c r="B1492" s="317"/>
    </row>
    <row r="1493" spans="1:2">
      <c r="A1493" s="1197"/>
      <c r="B1493" s="317"/>
    </row>
    <row r="1494" spans="1:2">
      <c r="A1494" s="1197"/>
      <c r="B1494" s="317"/>
    </row>
    <row r="1495" spans="1:2">
      <c r="A1495" s="1197"/>
      <c r="B1495" s="317"/>
    </row>
    <row r="1496" spans="1:2">
      <c r="A1496" s="1197"/>
      <c r="B1496" s="317"/>
    </row>
    <row r="1497" spans="1:2">
      <c r="A1497" s="1197"/>
      <c r="B1497" s="317"/>
    </row>
    <row r="1498" spans="1:2">
      <c r="A1498" s="1197"/>
      <c r="B1498" s="317"/>
    </row>
    <row r="1499" spans="1:2">
      <c r="A1499" s="1197"/>
      <c r="B1499" s="317"/>
    </row>
    <row r="1500" spans="1:2">
      <c r="A1500" s="1197"/>
      <c r="B1500" s="317"/>
    </row>
    <row r="1501" spans="1:2">
      <c r="A1501" s="1197"/>
      <c r="B1501" s="317"/>
    </row>
    <row r="1502" spans="1:2">
      <c r="A1502" s="1197"/>
      <c r="B1502" s="317"/>
    </row>
    <row r="1503" spans="1:2">
      <c r="A1503" s="1197"/>
      <c r="B1503" s="317"/>
    </row>
    <row r="1504" spans="1:2">
      <c r="A1504" s="1197"/>
      <c r="B1504" s="317"/>
    </row>
    <row r="1505" spans="1:2">
      <c r="A1505" s="1197"/>
      <c r="B1505" s="317"/>
    </row>
    <row r="1506" spans="1:2">
      <c r="A1506" s="1197"/>
      <c r="B1506" s="317"/>
    </row>
    <row r="1507" spans="1:2">
      <c r="A1507" s="1197"/>
      <c r="B1507" s="317"/>
    </row>
    <row r="1508" spans="1:2">
      <c r="A1508" s="1197"/>
      <c r="B1508" s="317"/>
    </row>
    <row r="1509" spans="1:2">
      <c r="A1509" s="1197"/>
      <c r="B1509" s="317"/>
    </row>
    <row r="1510" spans="1:2">
      <c r="A1510" s="1197"/>
      <c r="B1510" s="317"/>
    </row>
    <row r="1511" spans="1:2">
      <c r="A1511" s="1197"/>
      <c r="B1511" s="317"/>
    </row>
    <row r="1512" spans="1:2">
      <c r="A1512" s="1197"/>
      <c r="B1512" s="317"/>
    </row>
    <row r="1513" spans="1:2">
      <c r="A1513" s="1197"/>
      <c r="B1513" s="317"/>
    </row>
    <row r="1514" spans="1:2">
      <c r="A1514" s="1197"/>
      <c r="B1514" s="317"/>
    </row>
    <row r="1515" spans="1:2">
      <c r="A1515" s="1197"/>
      <c r="B1515" s="317"/>
    </row>
    <row r="1516" spans="1:2">
      <c r="A1516" s="1197"/>
      <c r="B1516" s="317"/>
    </row>
    <row r="1517" spans="1:2">
      <c r="A1517" s="1197"/>
      <c r="B1517" s="317"/>
    </row>
    <row r="1518" spans="1:2">
      <c r="A1518" s="1197"/>
      <c r="B1518" s="317"/>
    </row>
    <row r="1519" spans="1:2">
      <c r="A1519" s="1197"/>
      <c r="B1519" s="317"/>
    </row>
    <row r="1520" spans="1:2">
      <c r="A1520" s="1197"/>
      <c r="B1520" s="317"/>
    </row>
    <row r="1521" spans="1:2">
      <c r="A1521" s="1197"/>
      <c r="B1521" s="317"/>
    </row>
    <row r="1522" spans="1:2">
      <c r="A1522" s="1197"/>
      <c r="B1522" s="317"/>
    </row>
    <row r="1523" spans="1:2">
      <c r="A1523" s="1197"/>
      <c r="B1523" s="317"/>
    </row>
    <row r="1524" spans="1:2">
      <c r="A1524" s="1197"/>
      <c r="B1524" s="317"/>
    </row>
    <row r="1525" spans="1:2">
      <c r="A1525" s="1197"/>
      <c r="B1525" s="317"/>
    </row>
    <row r="1526" spans="1:2">
      <c r="A1526" s="1197"/>
      <c r="B1526" s="317"/>
    </row>
    <row r="1527" spans="1:2">
      <c r="A1527" s="1197"/>
      <c r="B1527" s="317"/>
    </row>
    <row r="1528" spans="1:2">
      <c r="A1528" s="1197"/>
      <c r="B1528" s="317"/>
    </row>
    <row r="1529" spans="1:2">
      <c r="A1529" s="1197"/>
      <c r="B1529" s="317"/>
    </row>
    <row r="1530" spans="1:2">
      <c r="A1530" s="1197"/>
      <c r="B1530" s="317"/>
    </row>
    <row r="1531" spans="1:2">
      <c r="A1531" s="1197"/>
      <c r="B1531" s="317"/>
    </row>
    <row r="1532" spans="1:2">
      <c r="A1532" s="1197"/>
      <c r="B1532" s="317"/>
    </row>
    <row r="1533" spans="1:2">
      <c r="A1533" s="1197"/>
      <c r="B1533" s="317"/>
    </row>
    <row r="1534" spans="1:2">
      <c r="A1534" s="1197"/>
      <c r="B1534" s="317"/>
    </row>
    <row r="1535" spans="1:2">
      <c r="A1535" s="1197"/>
      <c r="B1535" s="317"/>
    </row>
    <row r="1536" spans="1:2">
      <c r="A1536" s="1197"/>
      <c r="B1536" s="317"/>
    </row>
    <row r="1537" spans="1:2">
      <c r="A1537" s="1197"/>
      <c r="B1537" s="317"/>
    </row>
    <row r="1538" spans="1:2">
      <c r="A1538" s="1197"/>
      <c r="B1538" s="317"/>
    </row>
    <row r="1539" spans="1:2">
      <c r="A1539" s="1197"/>
      <c r="B1539" s="317"/>
    </row>
    <row r="1540" spans="1:2">
      <c r="A1540" s="1197"/>
      <c r="B1540" s="317"/>
    </row>
    <row r="1541" spans="1:2">
      <c r="A1541" s="1197"/>
      <c r="B1541" s="317"/>
    </row>
    <row r="1542" spans="1:2">
      <c r="A1542" s="1197"/>
      <c r="B1542" s="317"/>
    </row>
    <row r="1543" spans="1:2">
      <c r="A1543" s="1197"/>
      <c r="B1543" s="317"/>
    </row>
    <row r="1544" spans="1:2">
      <c r="A1544" s="1197"/>
      <c r="B1544" s="317"/>
    </row>
    <row r="1545" spans="1:2">
      <c r="A1545" s="1197"/>
      <c r="B1545" s="317"/>
    </row>
    <row r="1546" spans="1:2">
      <c r="A1546" s="1197"/>
      <c r="B1546" s="317"/>
    </row>
    <row r="1547" spans="1:2">
      <c r="A1547" s="1197"/>
      <c r="B1547" s="317"/>
    </row>
    <row r="1548" spans="1:2">
      <c r="A1548" s="1197"/>
      <c r="B1548" s="317"/>
    </row>
    <row r="1549" spans="1:2">
      <c r="A1549" s="1197"/>
      <c r="B1549" s="317"/>
    </row>
    <row r="1550" spans="1:2">
      <c r="A1550" s="1197"/>
      <c r="B1550" s="317"/>
    </row>
    <row r="1551" spans="1:2">
      <c r="A1551" s="1197"/>
      <c r="B1551" s="317"/>
    </row>
    <row r="1552" spans="1:2">
      <c r="A1552" s="1197"/>
      <c r="B1552" s="317"/>
    </row>
    <row r="1553" spans="1:2">
      <c r="A1553" s="1197"/>
      <c r="B1553" s="317"/>
    </row>
    <row r="1554" spans="1:2">
      <c r="A1554" s="1197"/>
      <c r="B1554" s="317"/>
    </row>
    <row r="1555" spans="1:2">
      <c r="A1555" s="1197"/>
      <c r="B1555" s="317"/>
    </row>
    <row r="1556" spans="1:2">
      <c r="A1556" s="1197"/>
      <c r="B1556" s="317"/>
    </row>
    <row r="1557" spans="1:2">
      <c r="A1557" s="1197"/>
      <c r="B1557" s="317"/>
    </row>
    <row r="1558" spans="1:2">
      <c r="A1558" s="1197"/>
      <c r="B1558" s="317"/>
    </row>
    <row r="1559" spans="1:2">
      <c r="A1559" s="1197"/>
      <c r="B1559" s="317"/>
    </row>
    <row r="1560" spans="1:2">
      <c r="A1560" s="1197"/>
      <c r="B1560" s="317"/>
    </row>
    <row r="1561" spans="1:2">
      <c r="A1561" s="1197"/>
      <c r="B1561" s="317"/>
    </row>
    <row r="1562" spans="1:2">
      <c r="A1562" s="1197"/>
      <c r="B1562" s="317"/>
    </row>
    <row r="1563" spans="1:2">
      <c r="A1563" s="1197"/>
      <c r="B1563" s="317"/>
    </row>
    <row r="1564" spans="1:2">
      <c r="A1564" s="1197"/>
      <c r="B1564" s="317"/>
    </row>
    <row r="1565" spans="1:2">
      <c r="A1565" s="1197"/>
      <c r="B1565" s="317"/>
    </row>
    <row r="1566" spans="1:2">
      <c r="A1566" s="1197"/>
      <c r="B1566" s="317"/>
    </row>
    <row r="1567" spans="1:2">
      <c r="A1567" s="1197"/>
      <c r="B1567" s="317"/>
    </row>
    <row r="1568" spans="1:2">
      <c r="A1568" s="1197"/>
      <c r="B1568" s="317"/>
    </row>
    <row r="1569" spans="1:2">
      <c r="A1569" s="1197"/>
      <c r="B1569" s="317"/>
    </row>
    <row r="1570" spans="1:2">
      <c r="A1570" s="1197"/>
      <c r="B1570" s="317"/>
    </row>
    <row r="1571" spans="1:2">
      <c r="A1571" s="1197"/>
      <c r="B1571" s="317"/>
    </row>
    <row r="1572" spans="1:2">
      <c r="A1572" s="1197"/>
      <c r="B1572" s="317"/>
    </row>
    <row r="1573" spans="1:2">
      <c r="A1573" s="1197"/>
      <c r="B1573" s="317"/>
    </row>
    <row r="1574" spans="1:2">
      <c r="A1574" s="1197"/>
      <c r="B1574" s="317"/>
    </row>
    <row r="1575" spans="1:2">
      <c r="A1575" s="1197"/>
      <c r="B1575" s="317"/>
    </row>
    <row r="1576" spans="1:2">
      <c r="A1576" s="1197"/>
      <c r="B1576" s="317"/>
    </row>
    <row r="1577" spans="1:2">
      <c r="A1577" s="1197"/>
      <c r="B1577" s="317"/>
    </row>
    <row r="1578" spans="1:2">
      <c r="A1578" s="1197"/>
      <c r="B1578" s="317"/>
    </row>
    <row r="1579" spans="1:2">
      <c r="A1579" s="1197"/>
      <c r="B1579" s="317"/>
    </row>
    <row r="1580" spans="1:2">
      <c r="A1580" s="1197"/>
      <c r="B1580" s="317"/>
    </row>
    <row r="1581" spans="1:2">
      <c r="A1581" s="1197"/>
      <c r="B1581" s="317"/>
    </row>
    <row r="1582" spans="1:2">
      <c r="A1582" s="1197"/>
      <c r="B1582" s="317"/>
    </row>
    <row r="1583" spans="1:2">
      <c r="A1583" s="1197"/>
      <c r="B1583" s="317"/>
    </row>
    <row r="1584" spans="1:2">
      <c r="A1584" s="1197"/>
      <c r="B1584" s="317"/>
    </row>
    <row r="1585" spans="1:2">
      <c r="A1585" s="1197"/>
      <c r="B1585" s="317"/>
    </row>
    <row r="1586" spans="1:2">
      <c r="A1586" s="1197"/>
      <c r="B1586" s="317"/>
    </row>
    <row r="1587" spans="1:2">
      <c r="A1587" s="1197"/>
      <c r="B1587" s="317"/>
    </row>
    <row r="1588" spans="1:2">
      <c r="A1588" s="1197"/>
      <c r="B1588" s="317"/>
    </row>
    <row r="1589" spans="1:2">
      <c r="A1589" s="1197"/>
      <c r="B1589" s="317"/>
    </row>
    <row r="1590" spans="1:2">
      <c r="A1590" s="1197"/>
      <c r="B1590" s="317"/>
    </row>
    <row r="1591" spans="1:2">
      <c r="A1591" s="1197"/>
      <c r="B1591" s="317"/>
    </row>
    <row r="1592" spans="1:2">
      <c r="A1592" s="1197"/>
      <c r="B1592" s="317"/>
    </row>
    <row r="1593" spans="1:2">
      <c r="A1593" s="1197"/>
      <c r="B1593" s="317"/>
    </row>
    <row r="1594" spans="1:2">
      <c r="A1594" s="1197"/>
      <c r="B1594" s="317"/>
    </row>
    <row r="1595" spans="1:2">
      <c r="A1595" s="1197"/>
      <c r="B1595" s="317"/>
    </row>
    <row r="1596" spans="1:2">
      <c r="A1596" s="1197"/>
      <c r="B1596" s="317"/>
    </row>
    <row r="1597" spans="1:2">
      <c r="A1597" s="1197"/>
      <c r="B1597" s="317"/>
    </row>
    <row r="1598" spans="1:2">
      <c r="A1598" s="1197"/>
      <c r="B1598" s="317"/>
    </row>
    <row r="1599" spans="1:2">
      <c r="A1599" s="1197"/>
      <c r="B1599" s="317"/>
    </row>
    <row r="1600" spans="1:2">
      <c r="A1600" s="1197"/>
      <c r="B1600" s="317"/>
    </row>
    <row r="1601" spans="1:2">
      <c r="A1601" s="1197"/>
      <c r="B1601" s="317"/>
    </row>
    <row r="1602" spans="1:2">
      <c r="A1602" s="1197"/>
      <c r="B1602" s="317"/>
    </row>
    <row r="1603" spans="1:2">
      <c r="A1603" s="1197"/>
      <c r="B1603" s="317"/>
    </row>
    <row r="1604" spans="1:2">
      <c r="A1604" s="1197"/>
      <c r="B1604" s="317"/>
    </row>
    <row r="1605" spans="1:2">
      <c r="A1605" s="1197"/>
      <c r="B1605" s="317"/>
    </row>
    <row r="1606" spans="1:2">
      <c r="A1606" s="1197"/>
      <c r="B1606" s="317"/>
    </row>
    <row r="1607" spans="1:2">
      <c r="A1607" s="1197"/>
      <c r="B1607" s="317"/>
    </row>
    <row r="1608" spans="1:2">
      <c r="A1608" s="1197"/>
      <c r="B1608" s="317"/>
    </row>
    <row r="1609" spans="1:2">
      <c r="A1609" s="1197"/>
      <c r="B1609" s="317"/>
    </row>
    <row r="1610" spans="1:2">
      <c r="A1610" s="1197"/>
      <c r="B1610" s="317"/>
    </row>
    <row r="1611" spans="1:2">
      <c r="A1611" s="1197"/>
      <c r="B1611" s="317"/>
    </row>
    <row r="1612" spans="1:2">
      <c r="A1612" s="1197"/>
      <c r="B1612" s="317"/>
    </row>
    <row r="1613" spans="1:2">
      <c r="A1613" s="1197"/>
      <c r="B1613" s="317"/>
    </row>
    <row r="1614" spans="1:2">
      <c r="A1614" s="1197"/>
      <c r="B1614" s="317"/>
    </row>
    <row r="1615" spans="1:2">
      <c r="A1615" s="1197"/>
      <c r="B1615" s="317"/>
    </row>
    <row r="1616" spans="1:2">
      <c r="A1616" s="1197"/>
      <c r="B1616" s="317"/>
    </row>
    <row r="1617" spans="1:2">
      <c r="A1617" s="1197"/>
      <c r="B1617" s="317"/>
    </row>
    <row r="1618" spans="1:2">
      <c r="A1618" s="1197"/>
      <c r="B1618" s="317"/>
    </row>
    <row r="1619" spans="1:2">
      <c r="A1619" s="1197"/>
      <c r="B1619" s="317"/>
    </row>
    <row r="1620" spans="1:2">
      <c r="A1620" s="1197"/>
      <c r="B1620" s="317"/>
    </row>
    <row r="1621" spans="1:2">
      <c r="A1621" s="1197"/>
      <c r="B1621" s="317"/>
    </row>
    <row r="1622" spans="1:2">
      <c r="A1622" s="1197"/>
      <c r="B1622" s="317"/>
    </row>
    <row r="1623" spans="1:2">
      <c r="A1623" s="1197"/>
      <c r="B1623" s="317"/>
    </row>
    <row r="1624" spans="1:2">
      <c r="A1624" s="1197"/>
      <c r="B1624" s="317"/>
    </row>
    <row r="1625" spans="1:2">
      <c r="A1625" s="1197"/>
      <c r="B1625" s="317"/>
    </row>
    <row r="1626" spans="1:2">
      <c r="A1626" s="1197"/>
      <c r="B1626" s="317"/>
    </row>
    <row r="1627" spans="1:2">
      <c r="A1627" s="1197"/>
      <c r="B1627" s="317"/>
    </row>
    <row r="1628" spans="1:2">
      <c r="A1628" s="1197"/>
      <c r="B1628" s="317"/>
    </row>
    <row r="1629" spans="1:2">
      <c r="A1629" s="1197"/>
      <c r="B1629" s="317"/>
    </row>
    <row r="1630" spans="1:2">
      <c r="A1630" s="1197"/>
      <c r="B1630" s="317"/>
    </row>
    <row r="1631" spans="1:2">
      <c r="A1631" s="1197"/>
      <c r="B1631" s="317"/>
    </row>
    <row r="1632" spans="1:2">
      <c r="A1632" s="1197"/>
      <c r="B1632" s="317"/>
    </row>
    <row r="1633" spans="1:2">
      <c r="A1633" s="1197"/>
      <c r="B1633" s="317"/>
    </row>
    <row r="1634" spans="1:2">
      <c r="A1634" s="1197"/>
      <c r="B1634" s="317"/>
    </row>
    <row r="1635" spans="1:2">
      <c r="A1635" s="1197"/>
      <c r="B1635" s="317"/>
    </row>
    <row r="1636" spans="1:2">
      <c r="A1636" s="1197"/>
      <c r="B1636" s="317"/>
    </row>
    <row r="1637" spans="1:2">
      <c r="A1637" s="1197"/>
      <c r="B1637" s="317"/>
    </row>
    <row r="1638" spans="1:2">
      <c r="A1638" s="1197"/>
      <c r="B1638" s="317"/>
    </row>
    <row r="1639" spans="1:2">
      <c r="A1639" s="1197"/>
      <c r="B1639" s="317"/>
    </row>
    <row r="1640" spans="1:2">
      <c r="A1640" s="1197"/>
      <c r="B1640" s="317"/>
    </row>
    <row r="1641" spans="1:2">
      <c r="A1641" s="1197"/>
      <c r="B1641" s="317"/>
    </row>
    <row r="1642" spans="1:2">
      <c r="A1642" s="1197"/>
      <c r="B1642" s="317"/>
    </row>
    <row r="1643" spans="1:2">
      <c r="A1643" s="1197"/>
      <c r="B1643" s="317"/>
    </row>
    <row r="1644" spans="1:2">
      <c r="A1644" s="1197"/>
      <c r="B1644" s="317"/>
    </row>
    <row r="1645" spans="1:2">
      <c r="A1645" s="1197"/>
      <c r="B1645" s="317"/>
    </row>
    <row r="1646" spans="1:2">
      <c r="A1646" s="1197"/>
      <c r="B1646" s="317"/>
    </row>
    <row r="1647" spans="1:2">
      <c r="A1647" s="1197"/>
      <c r="B1647" s="317"/>
    </row>
    <row r="1648" spans="1:2">
      <c r="A1648" s="1197"/>
      <c r="B1648" s="317"/>
    </row>
    <row r="1649" spans="1:2">
      <c r="A1649" s="1197"/>
      <c r="B1649" s="317"/>
    </row>
    <row r="1650" spans="1:2">
      <c r="A1650" s="1197"/>
      <c r="B1650" s="317"/>
    </row>
    <row r="1651" spans="1:2">
      <c r="A1651" s="1197"/>
      <c r="B1651" s="317"/>
    </row>
    <row r="1652" spans="1:2">
      <c r="A1652" s="1197"/>
      <c r="B1652" s="317"/>
    </row>
    <row r="1653" spans="1:2">
      <c r="A1653" s="1197"/>
      <c r="B1653" s="317"/>
    </row>
    <row r="1654" spans="1:2">
      <c r="A1654" s="1197"/>
      <c r="B1654" s="317"/>
    </row>
    <row r="1655" spans="1:2">
      <c r="A1655" s="1197"/>
      <c r="B1655" s="317"/>
    </row>
    <row r="1656" spans="1:2">
      <c r="A1656" s="1197"/>
      <c r="B1656" s="317"/>
    </row>
    <row r="1657" spans="1:2">
      <c r="A1657" s="1197"/>
      <c r="B1657" s="317"/>
    </row>
    <row r="1658" spans="1:2">
      <c r="A1658" s="1197"/>
      <c r="B1658" s="317"/>
    </row>
    <row r="1659" spans="1:2">
      <c r="A1659" s="1197"/>
      <c r="B1659" s="317"/>
    </row>
    <row r="1660" spans="1:2">
      <c r="A1660" s="1197"/>
      <c r="B1660" s="317"/>
    </row>
    <row r="1661" spans="1:2">
      <c r="A1661" s="1197"/>
      <c r="B1661" s="317"/>
    </row>
    <row r="1662" spans="1:2">
      <c r="A1662" s="1197"/>
      <c r="B1662" s="317"/>
    </row>
    <row r="1663" spans="1:2">
      <c r="A1663" s="1197"/>
      <c r="B1663" s="317"/>
    </row>
    <row r="1664" spans="1:2">
      <c r="A1664" s="1197"/>
      <c r="B1664" s="317"/>
    </row>
    <row r="1665" spans="1:2">
      <c r="A1665" s="1197"/>
      <c r="B1665" s="317"/>
    </row>
    <row r="1666" spans="1:2">
      <c r="A1666" s="1197"/>
      <c r="B1666" s="317"/>
    </row>
    <row r="1667" spans="1:2">
      <c r="A1667" s="1197"/>
      <c r="B1667" s="317"/>
    </row>
    <row r="1668" spans="1:2">
      <c r="A1668" s="1197"/>
      <c r="B1668" s="317"/>
    </row>
    <row r="1669" spans="1:2">
      <c r="A1669" s="1197"/>
      <c r="B1669" s="317"/>
    </row>
    <row r="1670" spans="1:2">
      <c r="A1670" s="1197"/>
      <c r="B1670" s="317"/>
    </row>
    <row r="1671" spans="1:2">
      <c r="A1671" s="1197"/>
      <c r="B1671" s="317"/>
    </row>
    <row r="1672" spans="1:2">
      <c r="A1672" s="1197"/>
      <c r="B1672" s="317"/>
    </row>
    <row r="1673" spans="1:2">
      <c r="A1673" s="1197"/>
      <c r="B1673" s="317"/>
    </row>
    <row r="1674" spans="1:2">
      <c r="A1674" s="1197"/>
      <c r="B1674" s="317"/>
    </row>
    <row r="1675" spans="1:2">
      <c r="A1675" s="1197"/>
      <c r="B1675" s="317"/>
    </row>
    <row r="1676" spans="1:2">
      <c r="A1676" s="1197"/>
      <c r="B1676" s="317"/>
    </row>
    <row r="1677" spans="1:2">
      <c r="A1677" s="1197"/>
      <c r="B1677" s="317"/>
    </row>
    <row r="1678" spans="1:2">
      <c r="A1678" s="1197"/>
      <c r="B1678" s="317"/>
    </row>
    <row r="1679" spans="1:2">
      <c r="A1679" s="1197"/>
      <c r="B1679" s="317"/>
    </row>
    <row r="1680" spans="1:2">
      <c r="A1680" s="1197"/>
      <c r="B1680" s="317"/>
    </row>
    <row r="1681" spans="1:2">
      <c r="A1681" s="1197"/>
      <c r="B1681" s="317"/>
    </row>
    <row r="1682" spans="1:2">
      <c r="A1682" s="1197"/>
      <c r="B1682" s="317"/>
    </row>
    <row r="1683" spans="1:2">
      <c r="A1683" s="1197"/>
      <c r="B1683" s="317"/>
    </row>
    <row r="1684" spans="1:2">
      <c r="A1684" s="1197"/>
      <c r="B1684" s="317"/>
    </row>
    <row r="1685" spans="1:2">
      <c r="A1685" s="1197"/>
      <c r="B1685" s="317"/>
    </row>
    <row r="1686" spans="1:2">
      <c r="A1686" s="1197"/>
      <c r="B1686" s="317"/>
    </row>
    <row r="1687" spans="1:2">
      <c r="A1687" s="1197"/>
      <c r="B1687" s="317"/>
    </row>
    <row r="1688" spans="1:2">
      <c r="A1688" s="1197"/>
      <c r="B1688" s="317"/>
    </row>
    <row r="1689" spans="1:2">
      <c r="A1689" s="1197"/>
      <c r="B1689" s="317"/>
    </row>
    <row r="1690" spans="1:2">
      <c r="A1690" s="1197"/>
      <c r="B1690" s="317"/>
    </row>
    <row r="1691" spans="1:2">
      <c r="A1691" s="1197"/>
      <c r="B1691" s="317"/>
    </row>
    <row r="1692" spans="1:2">
      <c r="A1692" s="1197"/>
      <c r="B1692" s="317"/>
    </row>
    <row r="1693" spans="1:2">
      <c r="A1693" s="1197"/>
      <c r="B1693" s="317"/>
    </row>
    <row r="1694" spans="1:2">
      <c r="A1694" s="1197"/>
      <c r="B1694" s="317"/>
    </row>
    <row r="1695" spans="1:2">
      <c r="A1695" s="1197"/>
      <c r="B1695" s="317"/>
    </row>
    <row r="1696" spans="1:2">
      <c r="A1696" s="1197"/>
      <c r="B1696" s="317"/>
    </row>
    <row r="1697" spans="1:2">
      <c r="A1697" s="1197"/>
      <c r="B1697" s="317"/>
    </row>
    <row r="1698" spans="1:2">
      <c r="A1698" s="1197"/>
      <c r="B1698" s="317"/>
    </row>
    <row r="1699" spans="1:2">
      <c r="A1699" s="1197"/>
      <c r="B1699" s="317"/>
    </row>
    <row r="1700" spans="1:2">
      <c r="A1700" s="1197"/>
      <c r="B1700" s="317"/>
    </row>
    <row r="1701" spans="1:2">
      <c r="A1701" s="1197"/>
      <c r="B1701" s="317"/>
    </row>
    <row r="1702" spans="1:2">
      <c r="A1702" s="1197"/>
      <c r="B1702" s="317"/>
    </row>
    <row r="1703" spans="1:2">
      <c r="A1703" s="1197"/>
      <c r="B1703" s="317"/>
    </row>
    <row r="1704" spans="1:2">
      <c r="A1704" s="1197"/>
      <c r="B1704" s="317"/>
    </row>
    <row r="1705" spans="1:2">
      <c r="A1705" s="1197"/>
      <c r="B1705" s="317"/>
    </row>
    <row r="1706" spans="1:2">
      <c r="A1706" s="1197"/>
      <c r="B1706" s="317"/>
    </row>
    <row r="1707" spans="1:2">
      <c r="A1707" s="1197"/>
      <c r="B1707" s="317"/>
    </row>
    <row r="1708" spans="1:2">
      <c r="A1708" s="1197"/>
      <c r="B1708" s="317"/>
    </row>
    <row r="1709" spans="1:2">
      <c r="A1709" s="1197"/>
      <c r="B1709" s="317"/>
    </row>
    <row r="1710" spans="1:2">
      <c r="A1710" s="1197"/>
      <c r="B1710" s="317"/>
    </row>
    <row r="1711" spans="1:2">
      <c r="A1711" s="1197"/>
      <c r="B1711" s="317"/>
    </row>
    <row r="1712" spans="1:2">
      <c r="A1712" s="1197"/>
      <c r="B1712" s="317"/>
    </row>
    <row r="1713" spans="1:2">
      <c r="A1713" s="1197"/>
      <c r="B1713" s="317"/>
    </row>
    <row r="1714" spans="1:2">
      <c r="A1714" s="1197"/>
      <c r="B1714" s="317"/>
    </row>
    <row r="1715" spans="1:2">
      <c r="A1715" s="1197"/>
      <c r="B1715" s="317"/>
    </row>
    <row r="1716" spans="1:2">
      <c r="A1716" s="1197"/>
      <c r="B1716" s="317"/>
    </row>
    <row r="1717" spans="1:2">
      <c r="A1717" s="1197"/>
      <c r="B1717" s="317"/>
    </row>
    <row r="1718" spans="1:2">
      <c r="A1718" s="1197"/>
      <c r="B1718" s="317"/>
    </row>
    <row r="1719" spans="1:2">
      <c r="A1719" s="1197"/>
      <c r="B1719" s="317"/>
    </row>
    <row r="1720" spans="1:2">
      <c r="A1720" s="1197"/>
      <c r="B1720" s="317"/>
    </row>
    <row r="1721" spans="1:2">
      <c r="A1721" s="1197"/>
      <c r="B1721" s="317"/>
    </row>
    <row r="1722" spans="1:2">
      <c r="A1722" s="1197"/>
      <c r="B1722" s="317"/>
    </row>
    <row r="1723" spans="1:2">
      <c r="A1723" s="1197"/>
      <c r="B1723" s="317"/>
    </row>
    <row r="1724" spans="1:2">
      <c r="A1724" s="1197"/>
      <c r="B1724" s="317"/>
    </row>
    <row r="1725" spans="1:2">
      <c r="A1725" s="1197"/>
      <c r="B1725" s="317"/>
    </row>
    <row r="1726" spans="1:2">
      <c r="A1726" s="1197"/>
      <c r="B1726" s="317"/>
    </row>
    <row r="1727" spans="1:2">
      <c r="A1727" s="1197"/>
      <c r="B1727" s="317"/>
    </row>
    <row r="1728" spans="1:2">
      <c r="A1728" s="1197"/>
      <c r="B1728" s="317"/>
    </row>
    <row r="1729" spans="1:2">
      <c r="A1729" s="1197"/>
      <c r="B1729" s="317"/>
    </row>
    <row r="1730" spans="1:2">
      <c r="A1730" s="1197"/>
      <c r="B1730" s="317"/>
    </row>
    <row r="1731" spans="1:2">
      <c r="A1731" s="1197"/>
      <c r="B1731" s="317"/>
    </row>
    <row r="1732" spans="1:2">
      <c r="A1732" s="1197"/>
      <c r="B1732" s="317"/>
    </row>
    <row r="1733" spans="1:2">
      <c r="A1733" s="1197"/>
      <c r="B1733" s="317"/>
    </row>
    <row r="1734" spans="1:2">
      <c r="A1734" s="1197"/>
      <c r="B1734" s="317"/>
    </row>
    <row r="1735" spans="1:2">
      <c r="A1735" s="1197"/>
      <c r="B1735" s="317"/>
    </row>
    <row r="1736" spans="1:2">
      <c r="A1736" s="1197"/>
      <c r="B1736" s="317"/>
    </row>
    <row r="1737" spans="1:2">
      <c r="A1737" s="1197"/>
      <c r="B1737" s="317"/>
    </row>
    <row r="1738" spans="1:2">
      <c r="A1738" s="1197"/>
      <c r="B1738" s="317"/>
    </row>
    <row r="1739" spans="1:2">
      <c r="A1739" s="1197"/>
      <c r="B1739" s="317"/>
    </row>
    <row r="1740" spans="1:2">
      <c r="A1740" s="1197"/>
      <c r="B1740" s="317"/>
    </row>
    <row r="1741" spans="1:2">
      <c r="A1741" s="1197"/>
      <c r="B1741" s="317"/>
    </row>
    <row r="1742" spans="1:2">
      <c r="A1742" s="1197"/>
      <c r="B1742" s="317"/>
    </row>
    <row r="1743" spans="1:2">
      <c r="A1743" s="1197"/>
      <c r="B1743" s="317"/>
    </row>
    <row r="1744" spans="1:2">
      <c r="A1744" s="1197"/>
      <c r="B1744" s="317"/>
    </row>
    <row r="1745" spans="1:2">
      <c r="A1745" s="1197"/>
      <c r="B1745" s="317"/>
    </row>
    <row r="1746" spans="1:2">
      <c r="A1746" s="1197"/>
      <c r="B1746" s="317"/>
    </row>
    <row r="1747" spans="1:2">
      <c r="A1747" s="1197"/>
      <c r="B1747" s="317"/>
    </row>
    <row r="1748" spans="1:2">
      <c r="A1748" s="1197"/>
      <c r="B1748" s="317"/>
    </row>
    <row r="1749" spans="1:2">
      <c r="A1749" s="1197"/>
      <c r="B1749" s="317"/>
    </row>
    <row r="1750" spans="1:2">
      <c r="A1750" s="1197"/>
      <c r="B1750" s="317"/>
    </row>
    <row r="1751" spans="1:2">
      <c r="A1751" s="1197"/>
      <c r="B1751" s="317"/>
    </row>
    <row r="1752" spans="1:2">
      <c r="A1752" s="1197"/>
      <c r="B1752" s="317"/>
    </row>
    <row r="1753" spans="1:2">
      <c r="A1753" s="1197"/>
      <c r="B1753" s="317"/>
    </row>
    <row r="1754" spans="1:2">
      <c r="A1754" s="1197"/>
      <c r="B1754" s="317"/>
    </row>
    <row r="1755" spans="1:2">
      <c r="A1755" s="1197"/>
      <c r="B1755" s="317"/>
    </row>
    <row r="1756" spans="1:2">
      <c r="A1756" s="1197"/>
      <c r="B1756" s="317"/>
    </row>
    <row r="1757" spans="1:2">
      <c r="A1757" s="1197"/>
      <c r="B1757" s="317"/>
    </row>
    <row r="1758" spans="1:2">
      <c r="A1758" s="1197"/>
      <c r="B1758" s="317"/>
    </row>
    <row r="1759" spans="1:2">
      <c r="A1759" s="1197"/>
      <c r="B1759" s="317"/>
    </row>
    <row r="1760" spans="1:2">
      <c r="A1760" s="1197"/>
      <c r="B1760" s="317"/>
    </row>
    <row r="1761" spans="1:2">
      <c r="A1761" s="1197"/>
      <c r="B1761" s="317"/>
    </row>
    <row r="1762" spans="1:2">
      <c r="A1762" s="1197"/>
      <c r="B1762" s="317"/>
    </row>
    <row r="1763" spans="1:2">
      <c r="A1763" s="1197"/>
      <c r="B1763" s="317"/>
    </row>
    <row r="1764" spans="1:2">
      <c r="A1764" s="1197"/>
      <c r="B1764" s="317"/>
    </row>
    <row r="1765" spans="1:2">
      <c r="A1765" s="1197"/>
      <c r="B1765" s="317"/>
    </row>
    <row r="1766" spans="1:2">
      <c r="A1766" s="1197"/>
      <c r="B1766" s="317"/>
    </row>
    <row r="1767" spans="1:2">
      <c r="A1767" s="1197"/>
      <c r="B1767" s="317"/>
    </row>
    <row r="1768" spans="1:2">
      <c r="A1768" s="1197"/>
      <c r="B1768" s="317"/>
    </row>
    <row r="1769" spans="1:2">
      <c r="A1769" s="1197"/>
      <c r="B1769" s="317"/>
    </row>
    <row r="1770" spans="1:2">
      <c r="A1770" s="1197"/>
      <c r="B1770" s="317"/>
    </row>
    <row r="1771" spans="1:2">
      <c r="A1771" s="1197"/>
      <c r="B1771" s="317"/>
    </row>
    <row r="1772" spans="1:2">
      <c r="A1772" s="1197"/>
      <c r="B1772" s="317"/>
    </row>
    <row r="1773" spans="1:2">
      <c r="A1773" s="1197"/>
      <c r="B1773" s="317"/>
    </row>
    <row r="1774" spans="1:2">
      <c r="A1774" s="1197"/>
      <c r="B1774" s="317"/>
    </row>
    <row r="1775" spans="1:2">
      <c r="A1775" s="1197"/>
      <c r="B1775" s="317"/>
    </row>
    <row r="1776" spans="1:2">
      <c r="A1776" s="1197"/>
      <c r="B1776" s="317"/>
    </row>
    <row r="1777" spans="1:2">
      <c r="A1777" s="1197"/>
      <c r="B1777" s="317"/>
    </row>
    <row r="1778" spans="1:2">
      <c r="A1778" s="1197"/>
      <c r="B1778" s="317"/>
    </row>
    <row r="1779" spans="1:2">
      <c r="A1779" s="1197"/>
      <c r="B1779" s="317"/>
    </row>
    <row r="1780" spans="1:2">
      <c r="A1780" s="1197"/>
      <c r="B1780" s="317"/>
    </row>
    <row r="1781" spans="1:2">
      <c r="A1781" s="1197"/>
      <c r="B1781" s="317"/>
    </row>
    <row r="1782" spans="1:2">
      <c r="A1782" s="1197"/>
      <c r="B1782" s="317"/>
    </row>
    <row r="1783" spans="1:2">
      <c r="A1783" s="1197"/>
      <c r="B1783" s="317"/>
    </row>
    <row r="1784" spans="1:2">
      <c r="A1784" s="1197"/>
      <c r="B1784" s="317"/>
    </row>
    <row r="1785" spans="1:2">
      <c r="A1785" s="1197"/>
      <c r="B1785" s="317"/>
    </row>
    <row r="1786" spans="1:2">
      <c r="A1786" s="1197"/>
      <c r="B1786" s="317"/>
    </row>
    <row r="1787" spans="1:2">
      <c r="A1787" s="1197"/>
      <c r="B1787" s="317"/>
    </row>
    <row r="1788" spans="1:2">
      <c r="A1788" s="1197"/>
      <c r="B1788" s="317"/>
    </row>
    <row r="1789" spans="1:2">
      <c r="A1789" s="1197"/>
      <c r="B1789" s="317"/>
    </row>
    <row r="1790" spans="1:2">
      <c r="A1790" s="1197"/>
      <c r="B1790" s="317"/>
    </row>
    <row r="1791" spans="1:2">
      <c r="A1791" s="1197"/>
      <c r="B1791" s="317"/>
    </row>
    <row r="1792" spans="1:2">
      <c r="A1792" s="1197"/>
      <c r="B1792" s="317"/>
    </row>
    <row r="1793" spans="1:2">
      <c r="A1793" s="1197"/>
      <c r="B1793" s="317"/>
    </row>
    <row r="1794" spans="1:2">
      <c r="A1794" s="1197"/>
      <c r="B1794" s="317"/>
    </row>
    <row r="1795" spans="1:2">
      <c r="A1795" s="1197"/>
      <c r="B1795" s="317"/>
    </row>
    <row r="1796" spans="1:2">
      <c r="A1796" s="1197"/>
      <c r="B1796" s="317"/>
    </row>
    <row r="1797" spans="1:2">
      <c r="A1797" s="1197"/>
      <c r="B1797" s="317"/>
    </row>
    <row r="1798" spans="1:2">
      <c r="A1798" s="1197"/>
      <c r="B1798" s="317"/>
    </row>
    <row r="1799" spans="1:2">
      <c r="A1799" s="1197"/>
      <c r="B1799" s="317"/>
    </row>
    <row r="1800" spans="1:2">
      <c r="A1800" s="1197"/>
      <c r="B1800" s="317"/>
    </row>
    <row r="1801" spans="1:2">
      <c r="A1801" s="1197"/>
      <c r="B1801" s="317"/>
    </row>
    <row r="1802" spans="1:2">
      <c r="A1802" s="1197"/>
      <c r="B1802" s="317"/>
    </row>
    <row r="1803" spans="1:2">
      <c r="A1803" s="1197"/>
      <c r="B1803" s="317"/>
    </row>
    <row r="1804" spans="1:2">
      <c r="A1804" s="1197"/>
      <c r="B1804" s="317"/>
    </row>
    <row r="1805" spans="1:2">
      <c r="A1805" s="1197"/>
      <c r="B1805" s="317"/>
    </row>
    <row r="1806" spans="1:2">
      <c r="A1806" s="1197"/>
      <c r="B1806" s="317"/>
    </row>
    <row r="1807" spans="1:2">
      <c r="A1807" s="1197"/>
      <c r="B1807" s="317"/>
    </row>
    <row r="1808" spans="1:2">
      <c r="A1808" s="1197"/>
      <c r="B1808" s="317"/>
    </row>
    <row r="1809" spans="1:2">
      <c r="A1809" s="1197"/>
      <c r="B1809" s="317"/>
    </row>
    <row r="1810" spans="1:2">
      <c r="A1810" s="1197"/>
      <c r="B1810" s="317"/>
    </row>
    <row r="1811" spans="1:2">
      <c r="A1811" s="1197"/>
      <c r="B1811" s="317"/>
    </row>
    <row r="1812" spans="1:2">
      <c r="A1812" s="1197"/>
      <c r="B1812" s="317"/>
    </row>
    <row r="1813" spans="1:2">
      <c r="A1813" s="1197"/>
      <c r="B1813" s="317"/>
    </row>
    <row r="1814" spans="1:2">
      <c r="A1814" s="1197"/>
      <c r="B1814" s="317"/>
    </row>
    <row r="1815" spans="1:2">
      <c r="A1815" s="1197"/>
      <c r="B1815" s="317"/>
    </row>
    <row r="1816" spans="1:2">
      <c r="A1816" s="1197"/>
      <c r="B1816" s="317"/>
    </row>
    <row r="1817" spans="1:2">
      <c r="A1817" s="1197"/>
      <c r="B1817" s="317"/>
    </row>
    <row r="1818" spans="1:2">
      <c r="A1818" s="1197"/>
      <c r="B1818" s="317"/>
    </row>
    <row r="1819" spans="1:2">
      <c r="A1819" s="1197"/>
      <c r="B1819" s="317"/>
    </row>
    <row r="1820" spans="1:2">
      <c r="A1820" s="1197"/>
      <c r="B1820" s="317"/>
    </row>
    <row r="1821" spans="1:2">
      <c r="A1821" s="1197"/>
      <c r="B1821" s="317"/>
    </row>
    <row r="1822" spans="1:2">
      <c r="A1822" s="1197"/>
      <c r="B1822" s="317"/>
    </row>
    <row r="1823" spans="1:2">
      <c r="A1823" s="1197"/>
      <c r="B1823" s="317"/>
    </row>
    <row r="1824" spans="1:2">
      <c r="A1824" s="1197"/>
      <c r="B1824" s="317"/>
    </row>
    <row r="1825" spans="1:2">
      <c r="A1825" s="1197"/>
      <c r="B1825" s="317"/>
    </row>
    <row r="1826" spans="1:2">
      <c r="A1826" s="1197"/>
      <c r="B1826" s="317"/>
    </row>
    <row r="1827" spans="1:2">
      <c r="A1827" s="1197"/>
      <c r="B1827" s="317"/>
    </row>
    <row r="1828" spans="1:2">
      <c r="A1828" s="1197"/>
      <c r="B1828" s="317"/>
    </row>
    <row r="1829" spans="1:2">
      <c r="A1829" s="1197"/>
      <c r="B1829" s="317"/>
    </row>
    <row r="1830" spans="1:2">
      <c r="A1830" s="1197"/>
      <c r="B1830" s="317"/>
    </row>
    <row r="1831" spans="1:2">
      <c r="A1831" s="1197"/>
      <c r="B1831" s="317"/>
    </row>
    <row r="1832" spans="1:2">
      <c r="A1832" s="1197"/>
      <c r="B1832" s="317"/>
    </row>
    <row r="1833" spans="1:2">
      <c r="A1833" s="1197"/>
      <c r="B1833" s="317"/>
    </row>
    <row r="1834" spans="1:2">
      <c r="A1834" s="1197"/>
      <c r="B1834" s="317"/>
    </row>
    <row r="1835" spans="1:2">
      <c r="A1835" s="1197"/>
      <c r="B1835" s="317"/>
    </row>
    <row r="1836" spans="1:2">
      <c r="A1836" s="1197"/>
      <c r="B1836" s="317"/>
    </row>
    <row r="1837" spans="1:2">
      <c r="A1837" s="1197"/>
      <c r="B1837" s="317"/>
    </row>
    <row r="1838" spans="1:2">
      <c r="A1838" s="1197"/>
      <c r="B1838" s="317"/>
    </row>
    <row r="1839" spans="1:2">
      <c r="A1839" s="1197"/>
      <c r="B1839" s="317"/>
    </row>
    <row r="1840" spans="1:2">
      <c r="A1840" s="1197"/>
      <c r="B1840" s="317"/>
    </row>
    <row r="1841" spans="1:2">
      <c r="A1841" s="1197"/>
      <c r="B1841" s="317"/>
    </row>
    <row r="1842" spans="1:2">
      <c r="A1842" s="1197"/>
      <c r="B1842" s="317"/>
    </row>
    <row r="1843" spans="1:2">
      <c r="A1843" s="1197"/>
      <c r="B1843" s="317"/>
    </row>
    <row r="1844" spans="1:2">
      <c r="A1844" s="1197"/>
      <c r="B1844" s="317"/>
    </row>
    <row r="1845" spans="1:2">
      <c r="A1845" s="1197"/>
      <c r="B1845" s="317"/>
    </row>
    <row r="1846" spans="1:2">
      <c r="A1846" s="1197"/>
      <c r="B1846" s="317"/>
    </row>
    <row r="1847" spans="1:2">
      <c r="A1847" s="1197"/>
      <c r="B1847" s="317"/>
    </row>
    <row r="1848" spans="1:2">
      <c r="A1848" s="1197"/>
      <c r="B1848" s="317"/>
    </row>
    <row r="1849" spans="1:2">
      <c r="A1849" s="1197"/>
      <c r="B1849" s="317"/>
    </row>
    <row r="1850" spans="1:2">
      <c r="A1850" s="1197"/>
      <c r="B1850" s="317"/>
    </row>
    <row r="1851" spans="1:2">
      <c r="A1851" s="1197"/>
      <c r="B1851" s="317"/>
    </row>
    <row r="1852" spans="1:2">
      <c r="A1852" s="1197"/>
      <c r="B1852" s="317"/>
    </row>
    <row r="1853" spans="1:2">
      <c r="A1853" s="1197"/>
      <c r="B1853" s="317"/>
    </row>
    <row r="1854" spans="1:2">
      <c r="A1854" s="1197"/>
      <c r="B1854" s="317"/>
    </row>
    <row r="1855" spans="1:2">
      <c r="A1855" s="1197"/>
      <c r="B1855" s="317"/>
    </row>
    <row r="1856" spans="1:2">
      <c r="A1856" s="1197"/>
      <c r="B1856" s="317"/>
    </row>
    <row r="1857" spans="1:2">
      <c r="A1857" s="1197"/>
      <c r="B1857" s="317"/>
    </row>
    <row r="1858" spans="1:2">
      <c r="A1858" s="1197"/>
      <c r="B1858" s="317"/>
    </row>
    <row r="1859" spans="1:2">
      <c r="A1859" s="1197"/>
      <c r="B1859" s="317"/>
    </row>
    <row r="1860" spans="1:2">
      <c r="A1860" s="1197"/>
      <c r="B1860" s="317"/>
    </row>
    <row r="1861" spans="1:2">
      <c r="A1861" s="1197"/>
      <c r="B1861" s="317"/>
    </row>
    <row r="1862" spans="1:2">
      <c r="A1862" s="1197"/>
      <c r="B1862" s="317"/>
    </row>
    <row r="1863" spans="1:2">
      <c r="A1863" s="1197"/>
      <c r="B1863" s="317"/>
    </row>
    <row r="1864" spans="1:2">
      <c r="A1864" s="1197"/>
      <c r="B1864" s="317"/>
    </row>
    <row r="1865" spans="1:2">
      <c r="A1865" s="1197"/>
      <c r="B1865" s="317"/>
    </row>
    <row r="1866" spans="1:2">
      <c r="A1866" s="1197"/>
      <c r="B1866" s="317"/>
    </row>
    <row r="1867" spans="1:2">
      <c r="A1867" s="1197"/>
      <c r="B1867" s="317"/>
    </row>
    <row r="1868" spans="1:2">
      <c r="A1868" s="1197"/>
      <c r="B1868" s="317"/>
    </row>
    <row r="1869" spans="1:2">
      <c r="A1869" s="1197"/>
      <c r="B1869" s="317"/>
    </row>
    <row r="1870" spans="1:2">
      <c r="A1870" s="1197"/>
      <c r="B1870" s="317"/>
    </row>
    <row r="1871" spans="1:2">
      <c r="A1871" s="1197"/>
      <c r="B1871" s="317"/>
    </row>
    <row r="1872" spans="1:2">
      <c r="A1872" s="1197"/>
      <c r="B1872" s="317"/>
    </row>
    <row r="1873" spans="1:2">
      <c r="A1873" s="1197"/>
      <c r="B1873" s="317"/>
    </row>
    <row r="1874" spans="1:2">
      <c r="A1874" s="1197"/>
      <c r="B1874" s="317"/>
    </row>
    <row r="1875" spans="1:2">
      <c r="A1875" s="1197"/>
      <c r="B1875" s="317"/>
    </row>
    <row r="1876" spans="1:2">
      <c r="A1876" s="1197"/>
      <c r="B1876" s="317"/>
    </row>
    <row r="1877" spans="1:2">
      <c r="A1877" s="1197"/>
      <c r="B1877" s="317"/>
    </row>
    <row r="1878" spans="1:2">
      <c r="A1878" s="1197"/>
      <c r="B1878" s="317"/>
    </row>
    <row r="1879" spans="1:2">
      <c r="A1879" s="1197"/>
      <c r="B1879" s="317"/>
    </row>
    <row r="1880" spans="1:2">
      <c r="A1880" s="1197"/>
      <c r="B1880" s="317"/>
    </row>
    <row r="1881" spans="1:2">
      <c r="A1881" s="1197"/>
      <c r="B1881" s="317"/>
    </row>
    <row r="1882" spans="1:2">
      <c r="A1882" s="1197"/>
      <c r="B1882" s="317"/>
    </row>
    <row r="1883" spans="1:2">
      <c r="A1883" s="1197"/>
      <c r="B1883" s="317"/>
    </row>
    <row r="1884" spans="1:2">
      <c r="A1884" s="1197"/>
      <c r="B1884" s="317"/>
    </row>
    <row r="1885" spans="1:2">
      <c r="A1885" s="1197"/>
      <c r="B1885" s="317"/>
    </row>
    <row r="1886" spans="1:2">
      <c r="A1886" s="1197"/>
      <c r="B1886" s="317"/>
    </row>
    <row r="1887" spans="1:2">
      <c r="A1887" s="1197"/>
      <c r="B1887" s="317"/>
    </row>
    <row r="1888" spans="1:2">
      <c r="A1888" s="1197"/>
      <c r="B1888" s="317"/>
    </row>
    <row r="1889" spans="1:2">
      <c r="A1889" s="1197"/>
      <c r="B1889" s="317"/>
    </row>
    <row r="1890" spans="1:2">
      <c r="A1890" s="1197"/>
      <c r="B1890" s="317"/>
    </row>
    <row r="1891" spans="1:2">
      <c r="A1891" s="1197"/>
      <c r="B1891" s="317"/>
    </row>
    <row r="1892" spans="1:2">
      <c r="A1892" s="1197"/>
      <c r="B1892" s="317"/>
    </row>
    <row r="1893" spans="1:2">
      <c r="A1893" s="1197"/>
      <c r="B1893" s="317"/>
    </row>
    <row r="1894" spans="1:2">
      <c r="A1894" s="1197"/>
      <c r="B1894" s="317"/>
    </row>
    <row r="1895" spans="1:2">
      <c r="A1895" s="1197"/>
      <c r="B1895" s="317"/>
    </row>
    <row r="1896" spans="1:2">
      <c r="A1896" s="1197"/>
      <c r="B1896" s="317"/>
    </row>
    <row r="1897" spans="1:2">
      <c r="A1897" s="1197"/>
      <c r="B1897" s="317"/>
    </row>
    <row r="1898" spans="1:2">
      <c r="A1898" s="1197"/>
      <c r="B1898" s="317"/>
    </row>
    <row r="1899" spans="1:2">
      <c r="A1899" s="1197"/>
      <c r="B1899" s="317"/>
    </row>
    <row r="1900" spans="1:2">
      <c r="A1900" s="1197"/>
      <c r="B1900" s="317"/>
    </row>
    <row r="1901" spans="1:2">
      <c r="A1901" s="1197"/>
      <c r="B1901" s="317"/>
    </row>
    <row r="1902" spans="1:2">
      <c r="A1902" s="1197"/>
      <c r="B1902" s="317"/>
    </row>
    <row r="1903" spans="1:2">
      <c r="A1903" s="1197"/>
      <c r="B1903" s="317"/>
    </row>
    <row r="1904" spans="1:2">
      <c r="A1904" s="1197"/>
      <c r="B1904" s="317"/>
    </row>
    <row r="1905" spans="1:2">
      <c r="A1905" s="1197"/>
      <c r="B1905" s="317"/>
    </row>
    <row r="1906" spans="1:2">
      <c r="A1906" s="1197"/>
      <c r="B1906" s="317"/>
    </row>
    <row r="1907" spans="1:2">
      <c r="A1907" s="1197"/>
      <c r="B1907" s="317"/>
    </row>
    <row r="1908" spans="1:2">
      <c r="A1908" s="1197"/>
      <c r="B1908" s="317"/>
    </row>
    <row r="1909" spans="1:2">
      <c r="A1909" s="1197"/>
      <c r="B1909" s="317"/>
    </row>
    <row r="1910" spans="1:2">
      <c r="A1910" s="1197"/>
      <c r="B1910" s="317"/>
    </row>
    <row r="1911" spans="1:2">
      <c r="A1911" s="1197"/>
      <c r="B1911" s="317"/>
    </row>
    <row r="1912" spans="1:2">
      <c r="A1912" s="1197"/>
      <c r="B1912" s="317"/>
    </row>
    <row r="1913" spans="1:2">
      <c r="A1913" s="1197"/>
      <c r="B1913" s="317"/>
    </row>
    <row r="1914" spans="1:2">
      <c r="A1914" s="1197"/>
      <c r="B1914" s="317"/>
    </row>
    <row r="1915" spans="1:2">
      <c r="A1915" s="1197"/>
      <c r="B1915" s="317"/>
    </row>
    <row r="1916" spans="1:2">
      <c r="A1916" s="1197"/>
      <c r="B1916" s="317"/>
    </row>
    <row r="1917" spans="1:2">
      <c r="A1917" s="1197"/>
      <c r="B1917" s="317"/>
    </row>
    <row r="1918" spans="1:2">
      <c r="A1918" s="1197"/>
      <c r="B1918" s="317"/>
    </row>
    <row r="1919" spans="1:2">
      <c r="A1919" s="1197"/>
      <c r="B1919" s="317"/>
    </row>
    <row r="1920" spans="1:2">
      <c r="A1920" s="1197"/>
      <c r="B1920" s="317"/>
    </row>
    <row r="1921" spans="1:2">
      <c r="A1921" s="1197"/>
      <c r="B1921" s="317"/>
    </row>
    <row r="1922" spans="1:2">
      <c r="A1922" s="1197"/>
      <c r="B1922" s="317"/>
    </row>
    <row r="1923" spans="1:2">
      <c r="A1923" s="1197"/>
      <c r="B1923" s="317"/>
    </row>
    <row r="1924" spans="1:2">
      <c r="A1924" s="1197"/>
      <c r="B1924" s="317"/>
    </row>
    <row r="1925" spans="1:2">
      <c r="A1925" s="1197"/>
      <c r="B1925" s="317"/>
    </row>
    <row r="1926" spans="1:2">
      <c r="A1926" s="1197"/>
      <c r="B1926" s="317"/>
    </row>
    <row r="1927" spans="1:2">
      <c r="A1927" s="1197"/>
      <c r="B1927" s="317"/>
    </row>
    <row r="1928" spans="1:2">
      <c r="A1928" s="1197"/>
      <c r="B1928" s="317"/>
    </row>
    <row r="1929" spans="1:2">
      <c r="A1929" s="1197"/>
      <c r="B1929" s="317"/>
    </row>
    <row r="1930" spans="1:2">
      <c r="A1930" s="1197"/>
      <c r="B1930" s="317"/>
    </row>
    <row r="1931" spans="1:2">
      <c r="A1931" s="1197"/>
      <c r="B1931" s="317"/>
    </row>
    <row r="1932" spans="1:2">
      <c r="A1932" s="1197"/>
      <c r="B1932" s="317"/>
    </row>
    <row r="1933" spans="1:2">
      <c r="A1933" s="1197"/>
      <c r="B1933" s="317"/>
    </row>
    <row r="1934" spans="1:2">
      <c r="A1934" s="1197"/>
      <c r="B1934" s="317"/>
    </row>
    <row r="1935" spans="1:2">
      <c r="A1935" s="1197"/>
      <c r="B1935" s="317"/>
    </row>
    <row r="1936" spans="1:2">
      <c r="A1936" s="1197"/>
      <c r="B1936" s="317"/>
    </row>
    <row r="1937" spans="1:2">
      <c r="A1937" s="1197"/>
      <c r="B1937" s="317"/>
    </row>
    <row r="1938" spans="1:2">
      <c r="A1938" s="1197"/>
      <c r="B1938" s="317"/>
    </row>
    <row r="1939" spans="1:2">
      <c r="A1939" s="1197"/>
      <c r="B1939" s="317"/>
    </row>
    <row r="1940" spans="1:2">
      <c r="A1940" s="1197"/>
      <c r="B1940" s="317"/>
    </row>
    <row r="1941" spans="1:2">
      <c r="A1941" s="1197"/>
      <c r="B1941" s="317"/>
    </row>
    <row r="1942" spans="1:2">
      <c r="A1942" s="1197"/>
      <c r="B1942" s="317"/>
    </row>
    <row r="1943" spans="1:2">
      <c r="A1943" s="1197"/>
      <c r="B1943" s="317"/>
    </row>
    <row r="1944" spans="1:2">
      <c r="A1944" s="1197"/>
      <c r="B1944" s="317"/>
    </row>
    <row r="1945" spans="1:2">
      <c r="A1945" s="1197"/>
      <c r="B1945" s="317"/>
    </row>
    <row r="1946" spans="1:2">
      <c r="A1946" s="1197"/>
      <c r="B1946" s="317"/>
    </row>
    <row r="1947" spans="1:2">
      <c r="A1947" s="1197"/>
      <c r="B1947" s="317"/>
    </row>
    <row r="1948" spans="1:2">
      <c r="A1948" s="1197"/>
      <c r="B1948" s="317"/>
    </row>
    <row r="1949" spans="1:2">
      <c r="A1949" s="1197"/>
      <c r="B1949" s="317"/>
    </row>
    <row r="1950" spans="1:2">
      <c r="A1950" s="1197"/>
      <c r="B1950" s="317"/>
    </row>
    <row r="1951" spans="1:2">
      <c r="A1951" s="1197"/>
      <c r="B1951" s="317"/>
    </row>
    <row r="1952" spans="1:2">
      <c r="A1952" s="1197"/>
      <c r="B1952" s="317"/>
    </row>
    <row r="1953" spans="1:2">
      <c r="A1953" s="1197"/>
      <c r="B1953" s="317"/>
    </row>
    <row r="1954" spans="1:2">
      <c r="A1954" s="1197"/>
      <c r="B1954" s="317"/>
    </row>
    <row r="1955" spans="1:2">
      <c r="A1955" s="1197"/>
      <c r="B1955" s="317"/>
    </row>
    <row r="1956" spans="1:2">
      <c r="A1956" s="1197"/>
      <c r="B1956" s="317"/>
    </row>
    <row r="1957" spans="1:2">
      <c r="A1957" s="1197"/>
      <c r="B1957" s="317"/>
    </row>
    <row r="1958" spans="1:2">
      <c r="A1958" s="1197"/>
      <c r="B1958" s="317"/>
    </row>
    <row r="1959" spans="1:2">
      <c r="A1959" s="1197"/>
      <c r="B1959" s="317"/>
    </row>
    <row r="1960" spans="1:2">
      <c r="A1960" s="1197"/>
      <c r="B1960" s="317"/>
    </row>
    <row r="1961" spans="1:2">
      <c r="A1961" s="1197"/>
      <c r="B1961" s="317"/>
    </row>
    <row r="1962" spans="1:2">
      <c r="A1962" s="1197"/>
      <c r="B1962" s="317"/>
    </row>
    <row r="1963" spans="1:2">
      <c r="A1963" s="1197"/>
      <c r="B1963" s="317"/>
    </row>
    <row r="1964" spans="1:2">
      <c r="A1964" s="1197"/>
      <c r="B1964" s="317"/>
    </row>
    <row r="1965" spans="1:2">
      <c r="A1965" s="1197"/>
      <c r="B1965" s="317"/>
    </row>
    <row r="1966" spans="1:2">
      <c r="A1966" s="1197"/>
      <c r="B1966" s="317"/>
    </row>
    <row r="1967" spans="1:2">
      <c r="A1967" s="1197"/>
      <c r="B1967" s="317"/>
    </row>
    <row r="1968" spans="1:2">
      <c r="A1968" s="1197"/>
      <c r="B1968" s="317"/>
    </row>
    <row r="1969" spans="1:2">
      <c r="A1969" s="1197"/>
      <c r="B1969" s="317"/>
    </row>
    <row r="1970" spans="1:2">
      <c r="A1970" s="1197"/>
      <c r="B1970" s="317"/>
    </row>
    <row r="1971" spans="1:2">
      <c r="A1971" s="1197"/>
      <c r="B1971" s="317"/>
    </row>
    <row r="1972" spans="1:2">
      <c r="A1972" s="1197"/>
      <c r="B1972" s="317"/>
    </row>
    <row r="1973" spans="1:2">
      <c r="A1973" s="1197"/>
      <c r="B1973" s="317"/>
    </row>
    <row r="1974" spans="1:2">
      <c r="A1974" s="1197"/>
      <c r="B1974" s="317"/>
    </row>
    <row r="1975" spans="1:2">
      <c r="A1975" s="1197"/>
      <c r="B1975" s="317"/>
    </row>
    <row r="1976" spans="1:2">
      <c r="A1976" s="1197"/>
      <c r="B1976" s="317"/>
    </row>
    <row r="1977" spans="1:2">
      <c r="A1977" s="1197"/>
      <c r="B1977" s="317"/>
    </row>
    <row r="1978" spans="1:2">
      <c r="A1978" s="1197"/>
      <c r="B1978" s="317"/>
    </row>
    <row r="1979" spans="1:2">
      <c r="A1979" s="1197"/>
      <c r="B1979" s="317"/>
    </row>
    <row r="1980" spans="1:2">
      <c r="A1980" s="1197"/>
      <c r="B1980" s="317"/>
    </row>
    <row r="1981" spans="1:2">
      <c r="A1981" s="1197"/>
      <c r="B1981" s="317"/>
    </row>
    <row r="1982" spans="1:2">
      <c r="A1982" s="1197"/>
      <c r="B1982" s="317"/>
    </row>
    <row r="1983" spans="1:2">
      <c r="A1983" s="1197"/>
      <c r="B1983" s="317"/>
    </row>
    <row r="1984" spans="1:2">
      <c r="A1984" s="1197"/>
      <c r="B1984" s="317"/>
    </row>
    <row r="1985" spans="1:2">
      <c r="A1985" s="1197"/>
      <c r="B1985" s="317"/>
    </row>
    <row r="1986" spans="1:2">
      <c r="A1986" s="1197"/>
      <c r="B1986" s="317"/>
    </row>
    <row r="1987" spans="1:2">
      <c r="A1987" s="1197"/>
      <c r="B1987" s="317"/>
    </row>
    <row r="1988" spans="1:2">
      <c r="A1988" s="1197"/>
      <c r="B1988" s="317"/>
    </row>
    <row r="1989" spans="1:2">
      <c r="A1989" s="1197"/>
      <c r="B1989" s="317"/>
    </row>
    <row r="1990" spans="1:2">
      <c r="A1990" s="1197"/>
      <c r="B1990" s="317"/>
    </row>
    <row r="1991" spans="1:2">
      <c r="A1991" s="1197"/>
      <c r="B1991" s="317"/>
    </row>
    <row r="1992" spans="1:2">
      <c r="A1992" s="1197"/>
      <c r="B1992" s="317"/>
    </row>
    <row r="1993" spans="1:2">
      <c r="A1993" s="1197"/>
      <c r="B1993" s="317"/>
    </row>
    <row r="1994" spans="1:2">
      <c r="A1994" s="1197"/>
      <c r="B1994" s="317"/>
    </row>
    <row r="1995" spans="1:2">
      <c r="A1995" s="1197"/>
      <c r="B1995" s="317"/>
    </row>
    <row r="1996" spans="1:2">
      <c r="A1996" s="1197"/>
      <c r="B1996" s="317"/>
    </row>
    <row r="1997" spans="1:2">
      <c r="A1997" s="1197"/>
      <c r="B1997" s="317"/>
    </row>
    <row r="1998" spans="1:2">
      <c r="A1998" s="1197"/>
      <c r="B1998" s="317"/>
    </row>
    <row r="1999" spans="1:2">
      <c r="A1999" s="1197"/>
      <c r="B1999" s="317"/>
    </row>
    <row r="2000" spans="1:2">
      <c r="A2000" s="1197"/>
      <c r="B2000" s="317"/>
    </row>
    <row r="2001" spans="1:2">
      <c r="A2001" s="1197"/>
      <c r="B2001" s="317"/>
    </row>
    <row r="2002" spans="1:2">
      <c r="A2002" s="1197"/>
      <c r="B2002" s="317"/>
    </row>
    <row r="2003" spans="1:2">
      <c r="A2003" s="1197"/>
      <c r="B2003" s="317"/>
    </row>
    <row r="2004" spans="1:2">
      <c r="A2004" s="1197"/>
      <c r="B2004" s="317"/>
    </row>
    <row r="2005" spans="1:2">
      <c r="A2005" s="1197"/>
      <c r="B2005" s="317"/>
    </row>
    <row r="2006" spans="1:2">
      <c r="A2006" s="1197"/>
      <c r="B2006" s="317"/>
    </row>
    <row r="2007" spans="1:2">
      <c r="A2007" s="1197"/>
      <c r="B2007" s="317"/>
    </row>
    <row r="2008" spans="1:2">
      <c r="A2008" s="1197"/>
      <c r="B2008" s="317"/>
    </row>
    <row r="2009" spans="1:2">
      <c r="A2009" s="1197"/>
      <c r="B2009" s="317"/>
    </row>
    <row r="2010" spans="1:2">
      <c r="A2010" s="1197"/>
      <c r="B2010" s="317"/>
    </row>
    <row r="2011" spans="1:2">
      <c r="A2011" s="1197"/>
      <c r="B2011" s="317"/>
    </row>
    <row r="2012" spans="1:2">
      <c r="A2012" s="1197"/>
      <c r="B2012" s="317"/>
    </row>
    <row r="2013" spans="1:2">
      <c r="A2013" s="1197"/>
      <c r="B2013" s="317"/>
    </row>
    <row r="2014" spans="1:2">
      <c r="A2014" s="1197"/>
      <c r="B2014" s="317"/>
    </row>
    <row r="2015" spans="1:2">
      <c r="A2015" s="1197"/>
      <c r="B2015" s="317"/>
    </row>
    <row r="2016" spans="1:2">
      <c r="A2016" s="1197"/>
      <c r="B2016" s="317"/>
    </row>
    <row r="2017" spans="1:2">
      <c r="A2017" s="1197"/>
      <c r="B2017" s="317"/>
    </row>
    <row r="2018" spans="1:2">
      <c r="A2018" s="1197"/>
      <c r="B2018" s="317"/>
    </row>
    <row r="2019" spans="1:2">
      <c r="A2019" s="1197"/>
      <c r="B2019" s="317"/>
    </row>
    <row r="2020" spans="1:2">
      <c r="A2020" s="1197"/>
      <c r="B2020" s="317"/>
    </row>
    <row r="2021" spans="1:2">
      <c r="A2021" s="1197"/>
      <c r="B2021" s="317"/>
    </row>
    <row r="2022" spans="1:2">
      <c r="A2022" s="1197"/>
      <c r="B2022" s="317"/>
    </row>
    <row r="2023" spans="1:2">
      <c r="A2023" s="1197"/>
      <c r="B2023" s="317"/>
    </row>
    <row r="2024" spans="1:2">
      <c r="A2024" s="1197"/>
      <c r="B2024" s="317"/>
    </row>
    <row r="2025" spans="1:2">
      <c r="A2025" s="1197"/>
      <c r="B2025" s="317"/>
    </row>
    <row r="2026" spans="1:2">
      <c r="A2026" s="1197"/>
      <c r="B2026" s="317"/>
    </row>
    <row r="2027" spans="1:2">
      <c r="A2027" s="1197"/>
      <c r="B2027" s="317"/>
    </row>
    <row r="2028" spans="1:2">
      <c r="A2028" s="1197"/>
      <c r="B2028" s="317"/>
    </row>
    <row r="2029" spans="1:2">
      <c r="A2029" s="1197"/>
      <c r="B2029" s="317"/>
    </row>
    <row r="2030" spans="1:2">
      <c r="A2030" s="1197"/>
      <c r="B2030" s="317"/>
    </row>
    <row r="2031" spans="1:2">
      <c r="A2031" s="1197"/>
      <c r="B2031" s="317"/>
    </row>
    <row r="2032" spans="1:2">
      <c r="A2032" s="1197"/>
      <c r="B2032" s="317"/>
    </row>
    <row r="2033" spans="1:2">
      <c r="A2033" s="1197"/>
      <c r="B2033" s="317"/>
    </row>
    <row r="2034" spans="1:2">
      <c r="A2034" s="1197"/>
      <c r="B2034" s="317"/>
    </row>
    <row r="2035" spans="1:2">
      <c r="A2035" s="1197"/>
      <c r="B2035" s="317"/>
    </row>
    <row r="2036" spans="1:2">
      <c r="A2036" s="1197"/>
      <c r="B2036" s="317"/>
    </row>
    <row r="2037" spans="1:2">
      <c r="A2037" s="1197"/>
      <c r="B2037" s="317"/>
    </row>
    <row r="2038" spans="1:2">
      <c r="A2038" s="1197"/>
      <c r="B2038" s="317"/>
    </row>
    <row r="2039" spans="1:2">
      <c r="A2039" s="1197"/>
      <c r="B2039" s="317"/>
    </row>
    <row r="2040" spans="1:2">
      <c r="A2040" s="1197"/>
      <c r="B2040" s="317"/>
    </row>
    <row r="2041" spans="1:2">
      <c r="A2041" s="1197"/>
      <c r="B2041" s="317"/>
    </row>
    <row r="2042" spans="1:2">
      <c r="A2042" s="1197"/>
      <c r="B2042" s="317"/>
    </row>
    <row r="2043" spans="1:2">
      <c r="A2043" s="1197"/>
      <c r="B2043" s="317"/>
    </row>
    <row r="2044" spans="1:2">
      <c r="A2044" s="1197"/>
      <c r="B2044" s="317"/>
    </row>
    <row r="2045" spans="1:2">
      <c r="A2045" s="1197"/>
      <c r="B2045" s="317"/>
    </row>
    <row r="2046" spans="1:2">
      <c r="A2046" s="1197"/>
      <c r="B2046" s="317"/>
    </row>
    <row r="2047" spans="1:2">
      <c r="A2047" s="1197"/>
      <c r="B2047" s="317"/>
    </row>
    <row r="2048" spans="1:2">
      <c r="A2048" s="1197"/>
      <c r="B2048" s="317"/>
    </row>
    <row r="2049" spans="1:2">
      <c r="A2049" s="1197"/>
      <c r="B2049" s="317"/>
    </row>
    <row r="2050" spans="1:2">
      <c r="A2050" s="1197"/>
      <c r="B2050" s="317"/>
    </row>
    <row r="2051" spans="1:2">
      <c r="A2051" s="1197"/>
      <c r="B2051" s="317"/>
    </row>
    <row r="2052" spans="1:2">
      <c r="A2052" s="1197"/>
      <c r="B2052" s="317"/>
    </row>
    <row r="2053" spans="1:2">
      <c r="A2053" s="1197"/>
      <c r="B2053" s="317"/>
    </row>
    <row r="2054" spans="1:2">
      <c r="A2054" s="1197"/>
      <c r="B2054" s="317"/>
    </row>
    <row r="2055" spans="1:2">
      <c r="A2055" s="1197"/>
      <c r="B2055" s="317"/>
    </row>
    <row r="2056" spans="1:2">
      <c r="A2056" s="1197"/>
      <c r="B2056" s="317"/>
    </row>
    <row r="2057" spans="1:2">
      <c r="A2057" s="1197"/>
      <c r="B2057" s="317"/>
    </row>
    <row r="2058" spans="1:2">
      <c r="A2058" s="1197"/>
      <c r="B2058" s="317"/>
    </row>
    <row r="2059" spans="1:2">
      <c r="A2059" s="1197"/>
      <c r="B2059" s="317"/>
    </row>
    <row r="2060" spans="1:2">
      <c r="A2060" s="1197"/>
      <c r="B2060" s="317"/>
    </row>
    <row r="2061" spans="1:2">
      <c r="A2061" s="1197"/>
      <c r="B2061" s="317"/>
    </row>
    <row r="2062" spans="1:2">
      <c r="A2062" s="1197"/>
      <c r="B2062" s="317"/>
    </row>
    <row r="2063" spans="1:2">
      <c r="A2063" s="1197"/>
      <c r="B2063" s="317"/>
    </row>
    <row r="2064" spans="1:2">
      <c r="A2064" s="1197"/>
      <c r="B2064" s="317"/>
    </row>
    <row r="2065" spans="1:2">
      <c r="A2065" s="1197"/>
      <c r="B2065" s="317"/>
    </row>
    <row r="2066" spans="1:2">
      <c r="A2066" s="1197"/>
      <c r="B2066" s="317"/>
    </row>
    <row r="2067" spans="1:2">
      <c r="A2067" s="1197"/>
      <c r="B2067" s="317"/>
    </row>
    <row r="2068" spans="1:2">
      <c r="A2068" s="1197"/>
      <c r="B2068" s="317"/>
    </row>
    <row r="2069" spans="1:2">
      <c r="A2069" s="1197"/>
      <c r="B2069" s="317"/>
    </row>
    <row r="2070" spans="1:2">
      <c r="A2070" s="1197"/>
      <c r="B2070" s="317"/>
    </row>
    <row r="2071" spans="1:2">
      <c r="A2071" s="1197"/>
      <c r="B2071" s="317"/>
    </row>
    <row r="2072" spans="1:2">
      <c r="A2072" s="1197"/>
      <c r="B2072" s="317"/>
    </row>
    <row r="2073" spans="1:2">
      <c r="A2073" s="1197"/>
      <c r="B2073" s="317"/>
    </row>
    <row r="2074" spans="1:2">
      <c r="A2074" s="1197"/>
      <c r="B2074" s="317"/>
    </row>
    <row r="2075" spans="1:2">
      <c r="A2075" s="1197"/>
      <c r="B2075" s="317"/>
    </row>
    <row r="2076" spans="1:2">
      <c r="A2076" s="1197"/>
      <c r="B2076" s="317"/>
    </row>
    <row r="2077" spans="1:2">
      <c r="A2077" s="1197"/>
      <c r="B2077" s="317"/>
    </row>
    <row r="2078" spans="1:2">
      <c r="A2078" s="1197"/>
      <c r="B2078" s="317"/>
    </row>
    <row r="2079" spans="1:2">
      <c r="A2079" s="1197"/>
      <c r="B2079" s="317"/>
    </row>
    <row r="2080" spans="1:2">
      <c r="A2080" s="1197"/>
      <c r="B2080" s="317"/>
    </row>
    <row r="2081" spans="1:2">
      <c r="A2081" s="1197"/>
      <c r="B2081" s="317"/>
    </row>
    <row r="2082" spans="1:2">
      <c r="A2082" s="1197"/>
      <c r="B2082" s="317"/>
    </row>
    <row r="2083" spans="1:2">
      <c r="A2083" s="1197"/>
      <c r="B2083" s="317"/>
    </row>
    <row r="2084" spans="1:2">
      <c r="A2084" s="1197"/>
      <c r="B2084" s="317"/>
    </row>
    <row r="2085" spans="1:2">
      <c r="A2085" s="1197"/>
      <c r="B2085" s="317"/>
    </row>
    <row r="2086" spans="1:2">
      <c r="A2086" s="1197"/>
      <c r="B2086" s="317"/>
    </row>
    <row r="2087" spans="1:2">
      <c r="A2087" s="1197"/>
      <c r="B2087" s="317"/>
    </row>
    <row r="2088" spans="1:2">
      <c r="A2088" s="1197"/>
      <c r="B2088" s="317"/>
    </row>
    <row r="2089" spans="1:2">
      <c r="A2089" s="1197"/>
      <c r="B2089" s="317"/>
    </row>
    <row r="2090" spans="1:2">
      <c r="A2090" s="1197"/>
      <c r="B2090" s="317"/>
    </row>
    <row r="2091" spans="1:2">
      <c r="A2091" s="1197"/>
      <c r="B2091" s="317"/>
    </row>
    <row r="2092" spans="1:2">
      <c r="A2092" s="1197"/>
      <c r="B2092" s="317"/>
    </row>
    <row r="2093" spans="1:2">
      <c r="A2093" s="1197"/>
      <c r="B2093" s="317"/>
    </row>
    <row r="2094" spans="1:2">
      <c r="A2094" s="1197"/>
      <c r="B2094" s="317"/>
    </row>
    <row r="2095" spans="1:2">
      <c r="A2095" s="1197"/>
      <c r="B2095" s="317"/>
    </row>
    <row r="2096" spans="1:2">
      <c r="A2096" s="1197"/>
      <c r="B2096" s="317"/>
    </row>
    <row r="2097" spans="1:2">
      <c r="A2097" s="1197"/>
      <c r="B2097" s="317"/>
    </row>
    <row r="2098" spans="1:2">
      <c r="A2098" s="1197"/>
      <c r="B2098" s="317"/>
    </row>
    <row r="2099" spans="1:2">
      <c r="A2099" s="1197"/>
      <c r="B2099" s="317"/>
    </row>
    <row r="2100" spans="1:2">
      <c r="A2100" s="1197"/>
      <c r="B2100" s="317"/>
    </row>
    <row r="2101" spans="1:2">
      <c r="A2101" s="1197"/>
      <c r="B2101" s="317"/>
    </row>
    <row r="2102" spans="1:2">
      <c r="A2102" s="1197"/>
      <c r="B2102" s="317"/>
    </row>
    <row r="2103" spans="1:2">
      <c r="A2103" s="1197"/>
      <c r="B2103" s="317"/>
    </row>
    <row r="2104" spans="1:2">
      <c r="A2104" s="1197"/>
      <c r="B2104" s="317"/>
    </row>
    <row r="2105" spans="1:2">
      <c r="A2105" s="1197"/>
      <c r="B2105" s="317"/>
    </row>
    <row r="2106" spans="1:2">
      <c r="A2106" s="1197"/>
      <c r="B2106" s="317"/>
    </row>
    <row r="2107" spans="1:2">
      <c r="A2107" s="1197"/>
      <c r="B2107" s="317"/>
    </row>
    <row r="2108" spans="1:2">
      <c r="A2108" s="1197"/>
      <c r="B2108" s="317"/>
    </row>
    <row r="2109" spans="1:2">
      <c r="A2109" s="1197"/>
      <c r="B2109" s="317"/>
    </row>
    <row r="2110" spans="1:2">
      <c r="A2110" s="1197"/>
      <c r="B2110" s="317"/>
    </row>
    <row r="2111" spans="1:2">
      <c r="A2111" s="1197"/>
      <c r="B2111" s="317"/>
    </row>
    <row r="2112" spans="1:2">
      <c r="A2112" s="1197"/>
      <c r="B2112" s="317"/>
    </row>
    <row r="2113" spans="1:2">
      <c r="A2113" s="1197"/>
      <c r="B2113" s="317"/>
    </row>
    <row r="2114" spans="1:2">
      <c r="A2114" s="1197"/>
      <c r="B2114" s="317"/>
    </row>
    <row r="2115" spans="1:2">
      <c r="A2115" s="1197"/>
      <c r="B2115" s="317"/>
    </row>
    <row r="2116" spans="1:2">
      <c r="A2116" s="1197"/>
      <c r="B2116" s="317"/>
    </row>
    <row r="2117" spans="1:2">
      <c r="A2117" s="1197"/>
      <c r="B2117" s="317"/>
    </row>
    <row r="2118" spans="1:2">
      <c r="A2118" s="1197"/>
      <c r="B2118" s="317"/>
    </row>
    <row r="2119" spans="1:2">
      <c r="A2119" s="1197"/>
      <c r="B2119" s="317"/>
    </row>
    <row r="2120" spans="1:2">
      <c r="A2120" s="1197"/>
      <c r="B2120" s="317"/>
    </row>
    <row r="2121" spans="1:2">
      <c r="A2121" s="1197"/>
      <c r="B2121" s="317"/>
    </row>
    <row r="2122" spans="1:2">
      <c r="A2122" s="1197"/>
      <c r="B2122" s="317"/>
    </row>
    <row r="2123" spans="1:2">
      <c r="A2123" s="1197"/>
      <c r="B2123" s="317"/>
    </row>
    <row r="2124" spans="1:2">
      <c r="A2124" s="1197"/>
      <c r="B2124" s="317"/>
    </row>
    <row r="2125" spans="1:2">
      <c r="A2125" s="1197"/>
      <c r="B2125" s="317"/>
    </row>
    <row r="2126" spans="1:2">
      <c r="A2126" s="1197"/>
      <c r="B2126" s="317"/>
    </row>
    <row r="2127" spans="1:2">
      <c r="A2127" s="1197"/>
      <c r="B2127" s="317"/>
    </row>
    <row r="2128" spans="1:2">
      <c r="A2128" s="1197"/>
      <c r="B2128" s="317"/>
    </row>
    <row r="2129" spans="1:2">
      <c r="A2129" s="1197"/>
      <c r="B2129" s="317"/>
    </row>
    <row r="2130" spans="1:2">
      <c r="A2130" s="1197"/>
      <c r="B2130" s="317"/>
    </row>
    <row r="2131" spans="1:2">
      <c r="A2131" s="1197"/>
      <c r="B2131" s="317"/>
    </row>
    <row r="2132" spans="1:2">
      <c r="A2132" s="1197"/>
      <c r="B2132" s="317"/>
    </row>
    <row r="2133" spans="1:2">
      <c r="A2133" s="1197"/>
      <c r="B2133" s="317"/>
    </row>
    <row r="2134" spans="1:2">
      <c r="A2134" s="1197"/>
      <c r="B2134" s="317"/>
    </row>
    <row r="2135" spans="1:2">
      <c r="A2135" s="1197"/>
      <c r="B2135" s="317"/>
    </row>
    <row r="2136" spans="1:2">
      <c r="A2136" s="1197"/>
      <c r="B2136" s="317"/>
    </row>
    <row r="2137" spans="1:2">
      <c r="A2137" s="1197"/>
      <c r="B2137" s="317"/>
    </row>
    <row r="2138" spans="1:2">
      <c r="A2138" s="1197"/>
      <c r="B2138" s="317"/>
    </row>
    <row r="2139" spans="1:2">
      <c r="A2139" s="1197"/>
      <c r="B2139" s="317"/>
    </row>
    <row r="2140" spans="1:2">
      <c r="A2140" s="1197"/>
      <c r="B2140" s="317"/>
    </row>
    <row r="2141" spans="1:2">
      <c r="A2141" s="1197"/>
      <c r="B2141" s="317"/>
    </row>
    <row r="2142" spans="1:2">
      <c r="A2142" s="1197"/>
      <c r="B2142" s="317"/>
    </row>
    <row r="2143" spans="1:2">
      <c r="A2143" s="1197"/>
      <c r="B2143" s="317"/>
    </row>
    <row r="2144" spans="1:2">
      <c r="A2144" s="1197"/>
      <c r="B2144" s="317"/>
    </row>
    <row r="2145" spans="1:2">
      <c r="A2145" s="1197"/>
      <c r="B2145" s="317"/>
    </row>
    <row r="2146" spans="1:2">
      <c r="A2146" s="1197"/>
      <c r="B2146" s="317"/>
    </row>
    <row r="2147" spans="1:2">
      <c r="A2147" s="1197"/>
      <c r="B2147" s="317"/>
    </row>
    <row r="2148" spans="1:2">
      <c r="A2148" s="1197"/>
      <c r="B2148" s="317"/>
    </row>
    <row r="2149" spans="1:2">
      <c r="A2149" s="1197"/>
      <c r="B2149" s="317"/>
    </row>
    <row r="2150" spans="1:2">
      <c r="A2150" s="1197"/>
      <c r="B2150" s="317"/>
    </row>
    <row r="2151" spans="1:2">
      <c r="A2151" s="1197"/>
      <c r="B2151" s="317"/>
    </row>
    <row r="2152" spans="1:2">
      <c r="A2152" s="1197"/>
      <c r="B2152" s="317"/>
    </row>
    <row r="2153" spans="1:2">
      <c r="A2153" s="1197"/>
      <c r="B2153" s="317"/>
    </row>
    <row r="2154" spans="1:2">
      <c r="A2154" s="1197"/>
      <c r="B2154" s="317"/>
    </row>
    <row r="2155" spans="1:2">
      <c r="A2155" s="1197"/>
      <c r="B2155" s="317"/>
    </row>
    <row r="2156" spans="1:2">
      <c r="A2156" s="1197"/>
      <c r="B2156" s="317"/>
    </row>
    <row r="2157" spans="1:2">
      <c r="A2157" s="1197"/>
      <c r="B2157" s="317"/>
    </row>
    <row r="2158" spans="1:2">
      <c r="A2158" s="1197"/>
      <c r="B2158" s="317"/>
    </row>
    <row r="2159" spans="1:2">
      <c r="A2159" s="1197"/>
      <c r="B2159" s="317"/>
    </row>
    <row r="2160" spans="1:2">
      <c r="A2160" s="1197"/>
      <c r="B2160" s="317"/>
    </row>
    <row r="2161" spans="1:2">
      <c r="A2161" s="1197"/>
      <c r="B2161" s="317"/>
    </row>
    <row r="2162" spans="1:2">
      <c r="A2162" s="1197"/>
      <c r="B2162" s="317"/>
    </row>
    <row r="2163" spans="1:2">
      <c r="A2163" s="1197"/>
      <c r="B2163" s="317"/>
    </row>
    <row r="2164" spans="1:2">
      <c r="A2164" s="1197"/>
      <c r="B2164" s="317"/>
    </row>
    <row r="2165" spans="1:2">
      <c r="A2165" s="1197"/>
      <c r="B2165" s="317"/>
    </row>
    <row r="2166" spans="1:2">
      <c r="A2166" s="1197"/>
      <c r="B2166" s="317"/>
    </row>
    <row r="2167" spans="1:2">
      <c r="A2167" s="1197"/>
      <c r="B2167" s="317"/>
    </row>
    <row r="2168" spans="1:2">
      <c r="A2168" s="1197"/>
      <c r="B2168" s="317"/>
    </row>
    <row r="2169" spans="1:2">
      <c r="A2169" s="1197"/>
      <c r="B2169" s="317"/>
    </row>
    <row r="2170" spans="1:2">
      <c r="A2170" s="1197"/>
      <c r="B2170" s="317"/>
    </row>
    <row r="2171" spans="1:2">
      <c r="A2171" s="1197"/>
      <c r="B2171" s="317"/>
    </row>
    <row r="2172" spans="1:2">
      <c r="A2172" s="1197"/>
      <c r="B2172" s="317"/>
    </row>
    <row r="2173" spans="1:2">
      <c r="A2173" s="1197"/>
      <c r="B2173" s="317"/>
    </row>
    <row r="2174" spans="1:2">
      <c r="A2174" s="1197"/>
      <c r="B2174" s="317"/>
    </row>
    <row r="2175" spans="1:2">
      <c r="A2175" s="1197"/>
      <c r="B2175" s="317"/>
    </row>
    <row r="2176" spans="1:2">
      <c r="A2176" s="1197"/>
      <c r="B2176" s="317"/>
    </row>
    <row r="2177" spans="1:2">
      <c r="A2177" s="1197"/>
      <c r="B2177" s="317"/>
    </row>
    <row r="2178" spans="1:2">
      <c r="A2178" s="1197"/>
      <c r="B2178" s="317"/>
    </row>
    <row r="2179" spans="1:2">
      <c r="A2179" s="1197"/>
      <c r="B2179" s="317"/>
    </row>
    <row r="2180" spans="1:2">
      <c r="A2180" s="1197"/>
      <c r="B2180" s="317"/>
    </row>
    <row r="2181" spans="1:2">
      <c r="A2181" s="1197"/>
      <c r="B2181" s="317"/>
    </row>
    <row r="2182" spans="1:2">
      <c r="A2182" s="1197"/>
      <c r="B2182" s="317"/>
    </row>
    <row r="2183" spans="1:2">
      <c r="A2183" s="1197"/>
      <c r="B2183" s="317"/>
    </row>
    <row r="2184" spans="1:2">
      <c r="A2184" s="1197"/>
      <c r="B2184" s="317"/>
    </row>
    <row r="2185" spans="1:2">
      <c r="A2185" s="1197"/>
      <c r="B2185" s="317"/>
    </row>
    <row r="2186" spans="1:2">
      <c r="A2186" s="1197"/>
      <c r="B2186" s="317"/>
    </row>
    <row r="2187" spans="1:2">
      <c r="A2187" s="1197"/>
      <c r="B2187" s="317"/>
    </row>
    <row r="2188" spans="1:2">
      <c r="A2188" s="1197"/>
      <c r="B2188" s="317"/>
    </row>
    <row r="2189" spans="1:2">
      <c r="A2189" s="1197"/>
      <c r="B2189" s="317"/>
    </row>
    <row r="2190" spans="1:2">
      <c r="A2190" s="1197"/>
      <c r="B2190" s="317"/>
    </row>
    <row r="2191" spans="1:2">
      <c r="A2191" s="1197"/>
      <c r="B2191" s="317"/>
    </row>
    <row r="2192" spans="1:2">
      <c r="A2192" s="1197"/>
      <c r="B2192" s="317"/>
    </row>
    <row r="2193" spans="1:2">
      <c r="A2193" s="1197"/>
      <c r="B2193" s="317"/>
    </row>
    <row r="2194" spans="1:2">
      <c r="A2194" s="1197"/>
      <c r="B2194" s="317"/>
    </row>
    <row r="2195" spans="1:2">
      <c r="A2195" s="1197"/>
      <c r="B2195" s="317"/>
    </row>
    <row r="2196" spans="1:2">
      <c r="A2196" s="1197"/>
      <c r="B2196" s="317"/>
    </row>
    <row r="2197" spans="1:2">
      <c r="A2197" s="1197"/>
      <c r="B2197" s="317"/>
    </row>
    <row r="2198" spans="1:2">
      <c r="A2198" s="1197"/>
      <c r="B2198" s="317"/>
    </row>
    <row r="2199" spans="1:2">
      <c r="A2199" s="1197"/>
      <c r="B2199" s="317"/>
    </row>
    <row r="2200" spans="1:2">
      <c r="A2200" s="1197"/>
      <c r="B2200" s="317"/>
    </row>
    <row r="2201" spans="1:2">
      <c r="A2201" s="1197"/>
      <c r="B2201" s="317"/>
    </row>
    <row r="2202" spans="1:2">
      <c r="A2202" s="1197"/>
      <c r="B2202" s="317"/>
    </row>
    <row r="2203" spans="1:2">
      <c r="A2203" s="1197"/>
      <c r="B2203" s="317"/>
    </row>
    <row r="2204" spans="1:2">
      <c r="A2204" s="1197"/>
      <c r="B2204" s="317"/>
    </row>
    <row r="2205" spans="1:2">
      <c r="A2205" s="1197"/>
      <c r="B2205" s="317"/>
    </row>
    <row r="2206" spans="1:2">
      <c r="A2206" s="1197"/>
      <c r="B2206" s="317"/>
    </row>
    <row r="2207" spans="1:2">
      <c r="A2207" s="1197"/>
      <c r="B2207" s="317"/>
    </row>
    <row r="2208" spans="1:2">
      <c r="A2208" s="1197"/>
      <c r="B2208" s="317"/>
    </row>
    <row r="2209" spans="1:2">
      <c r="A2209" s="1197"/>
      <c r="B2209" s="317"/>
    </row>
    <row r="2210" spans="1:2">
      <c r="A2210" s="1197"/>
      <c r="B2210" s="317"/>
    </row>
    <row r="2211" spans="1:2">
      <c r="A2211" s="1197"/>
      <c r="B2211" s="317"/>
    </row>
    <row r="2212" spans="1:2">
      <c r="A2212" s="1197"/>
      <c r="B2212" s="317"/>
    </row>
    <row r="2213" spans="1:2">
      <c r="A2213" s="1197"/>
      <c r="B2213" s="317"/>
    </row>
    <row r="2214" spans="1:2">
      <c r="A2214" s="1197"/>
      <c r="B2214" s="317"/>
    </row>
    <row r="2215" spans="1:2">
      <c r="A2215" s="1197"/>
      <c r="B2215" s="317"/>
    </row>
    <row r="2216" spans="1:2">
      <c r="A2216" s="1197"/>
      <c r="B2216" s="317"/>
    </row>
    <row r="2217" spans="1:2">
      <c r="A2217" s="1197"/>
      <c r="B2217" s="317"/>
    </row>
    <row r="2218" spans="1:2">
      <c r="A2218" s="1197"/>
      <c r="B2218" s="317"/>
    </row>
    <row r="2219" spans="1:2">
      <c r="A2219" s="1197"/>
      <c r="B2219" s="317"/>
    </row>
    <row r="2220" spans="1:2">
      <c r="A2220" s="1197"/>
      <c r="B2220" s="317"/>
    </row>
    <row r="2221" spans="1:2">
      <c r="A2221" s="1197"/>
      <c r="B2221" s="317"/>
    </row>
    <row r="2222" spans="1:2">
      <c r="A2222" s="1197"/>
      <c r="B2222" s="317"/>
    </row>
    <row r="2223" spans="1:2">
      <c r="A2223" s="1197"/>
      <c r="B2223" s="317"/>
    </row>
    <row r="2224" spans="1:2">
      <c r="A2224" s="1197"/>
      <c r="B2224" s="317"/>
    </row>
    <row r="2225" spans="1:2">
      <c r="A2225" s="1197"/>
      <c r="B2225" s="317"/>
    </row>
    <row r="2226" spans="1:2">
      <c r="A2226" s="1197"/>
      <c r="B2226" s="317"/>
    </row>
    <row r="2227" spans="1:2">
      <c r="A2227" s="1197"/>
      <c r="B2227" s="317"/>
    </row>
    <row r="2228" spans="1:2">
      <c r="A2228" s="1197"/>
      <c r="B2228" s="317"/>
    </row>
    <row r="2229" spans="1:2">
      <c r="A2229" s="1197"/>
      <c r="B2229" s="317"/>
    </row>
    <row r="2230" spans="1:2">
      <c r="A2230" s="1197"/>
      <c r="B2230" s="317"/>
    </row>
    <row r="2231" spans="1:2">
      <c r="A2231" s="1197"/>
      <c r="B2231" s="317"/>
    </row>
    <row r="2232" spans="1:2">
      <c r="A2232" s="1197"/>
      <c r="B2232" s="317"/>
    </row>
    <row r="2233" spans="1:2">
      <c r="A2233" s="1197"/>
      <c r="B2233" s="317"/>
    </row>
    <row r="2234" spans="1:2">
      <c r="A2234" s="1197"/>
      <c r="B2234" s="317"/>
    </row>
    <row r="2235" spans="1:2">
      <c r="A2235" s="1197"/>
      <c r="B2235" s="317"/>
    </row>
    <row r="2236" spans="1:2">
      <c r="A2236" s="1197"/>
      <c r="B2236" s="317"/>
    </row>
    <row r="2237" spans="1:2">
      <c r="A2237" s="1197"/>
      <c r="B2237" s="317"/>
    </row>
    <row r="2238" spans="1:2">
      <c r="A2238" s="1197"/>
      <c r="B2238" s="317"/>
    </row>
    <row r="2239" spans="1:2">
      <c r="A2239" s="1197"/>
      <c r="B2239" s="317"/>
    </row>
    <row r="2240" spans="1:2">
      <c r="A2240" s="1197"/>
      <c r="B2240" s="317"/>
    </row>
    <row r="2241" spans="1:2">
      <c r="A2241" s="1197"/>
      <c r="B2241" s="317"/>
    </row>
    <row r="2242" spans="1:2">
      <c r="A2242" s="1197"/>
      <c r="B2242" s="317"/>
    </row>
    <row r="2243" spans="1:2">
      <c r="A2243" s="1197"/>
      <c r="B2243" s="317"/>
    </row>
    <row r="2244" spans="1:2">
      <c r="A2244" s="1197"/>
      <c r="B2244" s="317"/>
    </row>
    <row r="2245" spans="1:2">
      <c r="A2245" s="1197"/>
      <c r="B2245" s="317"/>
    </row>
    <row r="2246" spans="1:2">
      <c r="A2246" s="1197"/>
      <c r="B2246" s="317"/>
    </row>
    <row r="2247" spans="1:2">
      <c r="A2247" s="1197"/>
      <c r="B2247" s="317"/>
    </row>
    <row r="2248" spans="1:2">
      <c r="A2248" s="1197"/>
      <c r="B2248" s="317"/>
    </row>
    <row r="2249" spans="1:2">
      <c r="A2249" s="1197"/>
      <c r="B2249" s="317"/>
    </row>
    <row r="2250" spans="1:2">
      <c r="A2250" s="1197"/>
      <c r="B2250" s="317"/>
    </row>
    <row r="2251" spans="1:2">
      <c r="A2251" s="1197"/>
      <c r="B2251" s="317"/>
    </row>
    <row r="2252" spans="1:2">
      <c r="A2252" s="1197"/>
      <c r="B2252" s="317"/>
    </row>
    <row r="2253" spans="1:2">
      <c r="A2253" s="1197"/>
      <c r="B2253" s="317"/>
    </row>
    <row r="2254" spans="1:2">
      <c r="A2254" s="1197"/>
      <c r="B2254" s="317"/>
    </row>
    <row r="2255" spans="1:2">
      <c r="A2255" s="1197"/>
      <c r="B2255" s="317"/>
    </row>
    <row r="2256" spans="1:2">
      <c r="A2256" s="1197"/>
      <c r="B2256" s="317"/>
    </row>
    <row r="2257" spans="1:2">
      <c r="A2257" s="1197"/>
      <c r="B2257" s="317"/>
    </row>
    <row r="2258" spans="1:2">
      <c r="A2258" s="1197"/>
      <c r="B2258" s="317"/>
    </row>
    <row r="2259" spans="1:2">
      <c r="A2259" s="1197"/>
      <c r="B2259" s="317"/>
    </row>
    <row r="2260" spans="1:2">
      <c r="A2260" s="1197"/>
      <c r="B2260" s="317"/>
    </row>
    <row r="2261" spans="1:2">
      <c r="A2261" s="1197"/>
      <c r="B2261" s="317"/>
    </row>
    <row r="2262" spans="1:2">
      <c r="A2262" s="1197"/>
      <c r="B2262" s="317"/>
    </row>
    <row r="2263" spans="1:2">
      <c r="A2263" s="1197"/>
      <c r="B2263" s="317"/>
    </row>
    <row r="2264" spans="1:2">
      <c r="A2264" s="1197"/>
      <c r="B2264" s="317"/>
    </row>
    <row r="2265" spans="1:2">
      <c r="A2265" s="1197"/>
      <c r="B2265" s="317"/>
    </row>
    <row r="2266" spans="1:2">
      <c r="A2266" s="1197"/>
      <c r="B2266" s="317"/>
    </row>
    <row r="2267" spans="1:2">
      <c r="A2267" s="1197"/>
      <c r="B2267" s="317"/>
    </row>
    <row r="2268" spans="1:2">
      <c r="A2268" s="1197"/>
      <c r="B2268" s="317"/>
    </row>
    <row r="2269" spans="1:2">
      <c r="A2269" s="1197"/>
      <c r="B2269" s="317"/>
    </row>
    <row r="2270" spans="1:2">
      <c r="A2270" s="1197"/>
      <c r="B2270" s="317"/>
    </row>
    <row r="2271" spans="1:2">
      <c r="A2271" s="1197"/>
      <c r="B2271" s="317"/>
    </row>
    <row r="2272" spans="1:2">
      <c r="A2272" s="1197"/>
      <c r="B2272" s="317"/>
    </row>
    <row r="2273" spans="1:2">
      <c r="A2273" s="1197"/>
      <c r="B2273" s="317"/>
    </row>
    <row r="2274" spans="1:2">
      <c r="A2274" s="1197"/>
      <c r="B2274" s="317"/>
    </row>
    <row r="2275" spans="1:2">
      <c r="A2275" s="1197"/>
      <c r="B2275" s="317"/>
    </row>
    <row r="2276" spans="1:2">
      <c r="A2276" s="1197"/>
      <c r="B2276" s="317"/>
    </row>
    <row r="2277" spans="1:2">
      <c r="A2277" s="1197"/>
      <c r="B2277" s="317"/>
    </row>
    <row r="2278" spans="1:2">
      <c r="A2278" s="1197"/>
      <c r="B2278" s="317"/>
    </row>
    <row r="2279" spans="1:2">
      <c r="A2279" s="1197"/>
      <c r="B2279" s="317"/>
    </row>
    <row r="2280" spans="1:2">
      <c r="A2280" s="1197"/>
      <c r="B2280" s="317"/>
    </row>
    <row r="2281" spans="1:2">
      <c r="A2281" s="1197"/>
      <c r="B2281" s="317"/>
    </row>
    <row r="2282" spans="1:2">
      <c r="A2282" s="1197"/>
      <c r="B2282" s="317"/>
    </row>
    <row r="2283" spans="1:2">
      <c r="A2283" s="1197"/>
      <c r="B2283" s="317"/>
    </row>
    <row r="2284" spans="1:2">
      <c r="A2284" s="1197"/>
      <c r="B2284" s="317"/>
    </row>
    <row r="2285" spans="1:2">
      <c r="A2285" s="1197"/>
      <c r="B2285" s="317"/>
    </row>
    <row r="2286" spans="1:2">
      <c r="A2286" s="1197"/>
      <c r="B2286" s="317"/>
    </row>
    <row r="2287" spans="1:2">
      <c r="A2287" s="1197"/>
      <c r="B2287" s="317"/>
    </row>
    <row r="2288" spans="1:2">
      <c r="A2288" s="1197"/>
      <c r="B2288" s="317"/>
    </row>
    <row r="2289" spans="1:2">
      <c r="A2289" s="1197"/>
      <c r="B2289" s="317"/>
    </row>
    <row r="2290" spans="1:2">
      <c r="A2290" s="1197"/>
      <c r="B2290" s="317"/>
    </row>
    <row r="2291" spans="1:2">
      <c r="A2291" s="1197"/>
      <c r="B2291" s="317"/>
    </row>
    <row r="2292" spans="1:2">
      <c r="A2292" s="1197"/>
      <c r="B2292" s="317"/>
    </row>
    <row r="2293" spans="1:2">
      <c r="A2293" s="1197"/>
      <c r="B2293" s="317"/>
    </row>
    <row r="2294" spans="1:2">
      <c r="A2294" s="1197"/>
      <c r="B2294" s="317"/>
    </row>
    <row r="2295" spans="1:2">
      <c r="A2295" s="1197"/>
      <c r="B2295" s="317"/>
    </row>
    <row r="2296" spans="1:2">
      <c r="A2296" s="1197"/>
      <c r="B2296" s="317"/>
    </row>
    <row r="2297" spans="1:2">
      <c r="A2297" s="1197"/>
      <c r="B2297" s="317"/>
    </row>
    <row r="2298" spans="1:2">
      <c r="A2298" s="1197"/>
      <c r="B2298" s="317"/>
    </row>
    <row r="2299" spans="1:2">
      <c r="A2299" s="1197"/>
      <c r="B2299" s="317"/>
    </row>
    <row r="2300" spans="1:2">
      <c r="A2300" s="1197"/>
      <c r="B2300" s="317"/>
    </row>
    <row r="2301" spans="1:2">
      <c r="A2301" s="1197"/>
      <c r="B2301" s="317"/>
    </row>
    <row r="2302" spans="1:2">
      <c r="A2302" s="1197"/>
      <c r="B2302" s="317"/>
    </row>
    <row r="2303" spans="1:2">
      <c r="A2303" s="1197"/>
      <c r="B2303" s="317"/>
    </row>
    <row r="2304" spans="1:2">
      <c r="A2304" s="1197"/>
      <c r="B2304" s="317"/>
    </row>
    <row r="2305" spans="1:2">
      <c r="A2305" s="1197"/>
      <c r="B2305" s="317"/>
    </row>
    <row r="2306" spans="1:2">
      <c r="A2306" s="1197"/>
      <c r="B2306" s="317"/>
    </row>
    <row r="2307" spans="1:2">
      <c r="A2307" s="1197"/>
      <c r="B2307" s="317"/>
    </row>
    <row r="2308" spans="1:2">
      <c r="A2308" s="1197"/>
      <c r="B2308" s="317"/>
    </row>
    <row r="2309" spans="1:2">
      <c r="A2309" s="1197"/>
      <c r="B2309" s="317"/>
    </row>
    <row r="2310" spans="1:2">
      <c r="A2310" s="1197"/>
      <c r="B2310" s="317"/>
    </row>
    <row r="2311" spans="1:2">
      <c r="A2311" s="1197"/>
      <c r="B2311" s="317"/>
    </row>
    <row r="2312" spans="1:2">
      <c r="A2312" s="1197"/>
      <c r="B2312" s="317"/>
    </row>
    <row r="2313" spans="1:2">
      <c r="A2313" s="1197"/>
      <c r="B2313" s="317"/>
    </row>
    <row r="2314" spans="1:2">
      <c r="A2314" s="1197"/>
      <c r="B2314" s="317"/>
    </row>
    <row r="2315" spans="1:2">
      <c r="A2315" s="1197"/>
      <c r="B2315" s="317"/>
    </row>
    <row r="2316" spans="1:2">
      <c r="A2316" s="1197"/>
      <c r="B2316" s="317"/>
    </row>
    <row r="2317" spans="1:2">
      <c r="A2317" s="1197"/>
      <c r="B2317" s="317"/>
    </row>
    <row r="2318" spans="1:2">
      <c r="A2318" s="1197"/>
      <c r="B2318" s="317"/>
    </row>
    <row r="2319" spans="1:2">
      <c r="A2319" s="1197"/>
      <c r="B2319" s="317"/>
    </row>
    <row r="2320" spans="1:2">
      <c r="A2320" s="1197"/>
      <c r="B2320" s="317"/>
    </row>
    <row r="2321" spans="1:2">
      <c r="A2321" s="1197"/>
      <c r="B2321" s="317"/>
    </row>
    <row r="2322" spans="1:2">
      <c r="A2322" s="1197"/>
      <c r="B2322" s="317"/>
    </row>
    <row r="2323" spans="1:2">
      <c r="A2323" s="1197"/>
      <c r="B2323" s="317"/>
    </row>
    <row r="2324" spans="1:2">
      <c r="A2324" s="1197"/>
      <c r="B2324" s="317"/>
    </row>
    <row r="2325" spans="1:2">
      <c r="A2325" s="1197"/>
      <c r="B2325" s="317"/>
    </row>
    <row r="2326" spans="1:2">
      <c r="A2326" s="1197"/>
      <c r="B2326" s="317"/>
    </row>
    <row r="2327" spans="1:2">
      <c r="A2327" s="1197"/>
      <c r="B2327" s="317"/>
    </row>
    <row r="2328" spans="1:2">
      <c r="A2328" s="1197"/>
      <c r="B2328" s="317"/>
    </row>
    <row r="2329" spans="1:2">
      <c r="A2329" s="1197"/>
      <c r="B2329" s="317"/>
    </row>
    <row r="2330" spans="1:2">
      <c r="A2330" s="1197"/>
      <c r="B2330" s="317"/>
    </row>
    <row r="2331" spans="1:2">
      <c r="A2331" s="1197"/>
      <c r="B2331" s="317"/>
    </row>
    <row r="2332" spans="1:2">
      <c r="A2332" s="1197"/>
      <c r="B2332" s="317"/>
    </row>
    <row r="2333" spans="1:2">
      <c r="A2333" s="1197"/>
      <c r="B2333" s="317"/>
    </row>
    <row r="2334" spans="1:2">
      <c r="A2334" s="1197"/>
      <c r="B2334" s="317"/>
    </row>
    <row r="2335" spans="1:2">
      <c r="A2335" s="1197"/>
      <c r="B2335" s="317"/>
    </row>
    <row r="2336" spans="1:2">
      <c r="A2336" s="1197"/>
      <c r="B2336" s="317"/>
    </row>
    <row r="2337" spans="1:2">
      <c r="A2337" s="1197"/>
      <c r="B2337" s="317"/>
    </row>
    <row r="2338" spans="1:2">
      <c r="A2338" s="1197"/>
      <c r="B2338" s="317"/>
    </row>
    <row r="2339" spans="1:2">
      <c r="A2339" s="1197"/>
      <c r="B2339" s="317"/>
    </row>
    <row r="2340" spans="1:2">
      <c r="A2340" s="1197"/>
      <c r="B2340" s="317"/>
    </row>
    <row r="2341" spans="1:2">
      <c r="A2341" s="1197"/>
      <c r="B2341" s="317"/>
    </row>
    <row r="2342" spans="1:2">
      <c r="A2342" s="1197"/>
      <c r="B2342" s="317"/>
    </row>
    <row r="2343" spans="1:2">
      <c r="A2343" s="1197"/>
      <c r="B2343" s="317"/>
    </row>
    <row r="2344" spans="1:2">
      <c r="A2344" s="1197"/>
      <c r="B2344" s="317"/>
    </row>
    <row r="2345" spans="1:2">
      <c r="A2345" s="1197"/>
      <c r="B2345" s="317"/>
    </row>
    <row r="2346" spans="1:2">
      <c r="A2346" s="1197"/>
      <c r="B2346" s="317"/>
    </row>
    <row r="2347" spans="1:2">
      <c r="A2347" s="1197"/>
      <c r="B2347" s="317"/>
    </row>
    <row r="2348" spans="1:2">
      <c r="A2348" s="1197"/>
      <c r="B2348" s="317"/>
    </row>
    <row r="2349" spans="1:2">
      <c r="A2349" s="1197"/>
      <c r="B2349" s="317"/>
    </row>
    <row r="2350" spans="1:2">
      <c r="A2350" s="1197"/>
      <c r="B2350" s="317"/>
    </row>
    <row r="2351" spans="1:2">
      <c r="A2351" s="1197"/>
      <c r="B2351" s="317"/>
    </row>
    <row r="2352" spans="1:2">
      <c r="A2352" s="1197"/>
      <c r="B2352" s="317"/>
    </row>
    <row r="2353" spans="1:2">
      <c r="A2353" s="1197"/>
      <c r="B2353" s="317"/>
    </row>
    <row r="2354" spans="1:2">
      <c r="A2354" s="1197"/>
      <c r="B2354" s="317"/>
    </row>
    <row r="2355" spans="1:2">
      <c r="A2355" s="1197"/>
      <c r="B2355" s="317"/>
    </row>
    <row r="2356" spans="1:2">
      <c r="A2356" s="1197"/>
      <c r="B2356" s="317"/>
    </row>
    <row r="2357" spans="1:2">
      <c r="A2357" s="1197"/>
      <c r="B2357" s="317"/>
    </row>
    <row r="2358" spans="1:2">
      <c r="A2358" s="1197"/>
      <c r="B2358" s="317"/>
    </row>
    <row r="2359" spans="1:2">
      <c r="A2359" s="1197"/>
      <c r="B2359" s="317"/>
    </row>
    <row r="2360" spans="1:2">
      <c r="A2360" s="1197"/>
      <c r="B2360" s="317"/>
    </row>
    <row r="2361" spans="1:2">
      <c r="A2361" s="1197"/>
      <c r="B2361" s="317"/>
    </row>
    <row r="2362" spans="1:2">
      <c r="A2362" s="1197"/>
      <c r="B2362" s="317"/>
    </row>
    <row r="2363" spans="1:2">
      <c r="A2363" s="1197"/>
      <c r="B2363" s="317"/>
    </row>
    <row r="2364" spans="1:2">
      <c r="A2364" s="1197"/>
      <c r="B2364" s="317"/>
    </row>
    <row r="2365" spans="1:2">
      <c r="A2365" s="1197"/>
      <c r="B2365" s="317"/>
    </row>
    <row r="2366" spans="1:2">
      <c r="A2366" s="1197"/>
      <c r="B2366" s="317"/>
    </row>
    <row r="2367" spans="1:2">
      <c r="A2367" s="1197"/>
      <c r="B2367" s="317"/>
    </row>
    <row r="2368" spans="1:2">
      <c r="A2368" s="1197"/>
      <c r="B2368" s="317"/>
    </row>
    <row r="2369" spans="1:2">
      <c r="A2369" s="1197"/>
      <c r="B2369" s="317"/>
    </row>
    <row r="2370" spans="1:2">
      <c r="A2370" s="1197"/>
      <c r="B2370" s="317"/>
    </row>
    <row r="2371" spans="1:2">
      <c r="A2371" s="1197"/>
      <c r="B2371" s="317"/>
    </row>
    <row r="2372" spans="1:2">
      <c r="A2372" s="1197"/>
      <c r="B2372" s="317"/>
    </row>
    <row r="2373" spans="1:2">
      <c r="A2373" s="1197"/>
      <c r="B2373" s="317"/>
    </row>
    <row r="2374" spans="1:2">
      <c r="A2374" s="1197"/>
      <c r="B2374" s="317"/>
    </row>
    <row r="2375" spans="1:2">
      <c r="A2375" s="1197"/>
      <c r="B2375" s="317"/>
    </row>
    <row r="2376" spans="1:2">
      <c r="A2376" s="1197"/>
      <c r="B2376" s="317"/>
    </row>
    <row r="2377" spans="1:2">
      <c r="A2377" s="1197"/>
      <c r="B2377" s="317"/>
    </row>
    <row r="2378" spans="1:2">
      <c r="A2378" s="1197"/>
      <c r="B2378" s="317"/>
    </row>
    <row r="2379" spans="1:2">
      <c r="A2379" s="1197"/>
      <c r="B2379" s="317"/>
    </row>
    <row r="2380" spans="1:2">
      <c r="A2380" s="1197"/>
      <c r="B2380" s="317"/>
    </row>
    <row r="2381" spans="1:2">
      <c r="A2381" s="1197"/>
      <c r="B2381" s="317"/>
    </row>
    <row r="2382" spans="1:2">
      <c r="A2382" s="1197"/>
      <c r="B2382" s="317"/>
    </row>
    <row r="2383" spans="1:2">
      <c r="A2383" s="1197"/>
      <c r="B2383" s="317"/>
    </row>
    <row r="2384" spans="1:2">
      <c r="A2384" s="1197"/>
      <c r="B2384" s="317"/>
    </row>
    <row r="2385" spans="1:2">
      <c r="A2385" s="1197"/>
      <c r="B2385" s="317"/>
    </row>
    <row r="2386" spans="1:2">
      <c r="A2386" s="1197"/>
      <c r="B2386" s="317"/>
    </row>
    <row r="2387" spans="1:2">
      <c r="A2387" s="1197"/>
      <c r="B2387" s="317"/>
    </row>
    <row r="2388" spans="1:2">
      <c r="A2388" s="1197"/>
      <c r="B2388" s="317"/>
    </row>
    <row r="2389" spans="1:2">
      <c r="A2389" s="1197"/>
      <c r="B2389" s="317"/>
    </row>
    <row r="2390" spans="1:2">
      <c r="A2390" s="1197"/>
      <c r="B2390" s="317"/>
    </row>
    <row r="2391" spans="1:2">
      <c r="A2391" s="1197"/>
      <c r="B2391" s="317"/>
    </row>
    <row r="2392" spans="1:2">
      <c r="A2392" s="1197"/>
      <c r="B2392" s="317"/>
    </row>
    <row r="2393" spans="1:2">
      <c r="A2393" s="1197"/>
      <c r="B2393" s="317"/>
    </row>
    <row r="2394" spans="1:2">
      <c r="A2394" s="1197"/>
      <c r="B2394" s="317"/>
    </row>
    <row r="2395" spans="1:2">
      <c r="A2395" s="1197"/>
      <c r="B2395" s="317"/>
    </row>
    <row r="2396" spans="1:2">
      <c r="A2396" s="1197"/>
      <c r="B2396" s="317"/>
    </row>
    <row r="2397" spans="1:2">
      <c r="A2397" s="1197"/>
      <c r="B2397" s="317"/>
    </row>
    <row r="2398" spans="1:2">
      <c r="A2398" s="1197"/>
      <c r="B2398" s="317"/>
    </row>
    <row r="2399" spans="1:2">
      <c r="A2399" s="1197"/>
      <c r="B2399" s="317"/>
    </row>
    <row r="2400" spans="1:2">
      <c r="A2400" s="1197"/>
      <c r="B2400" s="317"/>
    </row>
    <row r="2401" spans="1:2">
      <c r="A2401" s="1197"/>
      <c r="B2401" s="317"/>
    </row>
    <row r="2402" spans="1:2">
      <c r="A2402" s="1197"/>
      <c r="B2402" s="317"/>
    </row>
    <row r="2403" spans="1:2">
      <c r="A2403" s="1197"/>
      <c r="B2403" s="317"/>
    </row>
    <row r="2404" spans="1:2">
      <c r="A2404" s="1197"/>
      <c r="B2404" s="317"/>
    </row>
    <row r="2405" spans="1:2">
      <c r="A2405" s="1197"/>
      <c r="B2405" s="317"/>
    </row>
    <row r="2406" spans="1:2">
      <c r="A2406" s="1197"/>
      <c r="B2406" s="317"/>
    </row>
    <row r="2407" spans="1:2">
      <c r="A2407" s="1197"/>
      <c r="B2407" s="317"/>
    </row>
    <row r="2408" spans="1:2">
      <c r="A2408" s="1197"/>
      <c r="B2408" s="317"/>
    </row>
    <row r="2409" spans="1:2">
      <c r="A2409" s="1197"/>
      <c r="B2409" s="317"/>
    </row>
    <row r="2410" spans="1:2">
      <c r="A2410" s="1197"/>
      <c r="B2410" s="317"/>
    </row>
    <row r="2411" spans="1:2">
      <c r="A2411" s="1197"/>
      <c r="B2411" s="317"/>
    </row>
    <row r="2412" spans="1:2">
      <c r="A2412" s="1197"/>
      <c r="B2412" s="317"/>
    </row>
    <row r="2413" spans="1:2">
      <c r="A2413" s="1197"/>
      <c r="B2413" s="317"/>
    </row>
    <row r="2414" spans="1:2">
      <c r="A2414" s="1197"/>
      <c r="B2414" s="317"/>
    </row>
    <row r="2415" spans="1:2">
      <c r="A2415" s="1197"/>
      <c r="B2415" s="317"/>
    </row>
    <row r="2416" spans="1:2">
      <c r="A2416" s="1197"/>
      <c r="B2416" s="317"/>
    </row>
    <row r="2417" spans="1:2">
      <c r="A2417" s="1197"/>
      <c r="B2417" s="317"/>
    </row>
    <row r="2418" spans="1:2">
      <c r="A2418" s="1197"/>
      <c r="B2418" s="317"/>
    </row>
    <row r="2419" spans="1:2">
      <c r="A2419" s="1197"/>
      <c r="B2419" s="317"/>
    </row>
    <row r="2420" spans="1:2">
      <c r="A2420" s="1197"/>
      <c r="B2420" s="317"/>
    </row>
    <row r="2421" spans="1:2">
      <c r="A2421" s="1197"/>
      <c r="B2421" s="317"/>
    </row>
    <row r="2422" spans="1:2">
      <c r="A2422" s="1197"/>
      <c r="B2422" s="317"/>
    </row>
    <row r="2423" spans="1:2">
      <c r="A2423" s="1197"/>
      <c r="B2423" s="317"/>
    </row>
    <row r="2424" spans="1:2">
      <c r="A2424" s="1197"/>
      <c r="B2424" s="317"/>
    </row>
    <row r="2425" spans="1:2">
      <c r="A2425" s="1197"/>
      <c r="B2425" s="317"/>
    </row>
    <row r="2426" spans="1:2">
      <c r="A2426" s="1197"/>
      <c r="B2426" s="317"/>
    </row>
    <row r="2427" spans="1:2">
      <c r="A2427" s="1197"/>
      <c r="B2427" s="317"/>
    </row>
    <row r="2428" spans="1:2">
      <c r="A2428" s="1197"/>
      <c r="B2428" s="317"/>
    </row>
    <row r="2429" spans="1:2">
      <c r="A2429" s="1197"/>
      <c r="B2429" s="317"/>
    </row>
    <row r="2430" spans="1:2">
      <c r="A2430" s="1197"/>
      <c r="B2430" s="317"/>
    </row>
    <row r="2431" spans="1:2">
      <c r="A2431" s="1197"/>
      <c r="B2431" s="317"/>
    </row>
    <row r="2432" spans="1:2">
      <c r="A2432" s="1197"/>
      <c r="B2432" s="317"/>
    </row>
    <row r="2433" spans="1:2">
      <c r="A2433" s="1197"/>
      <c r="B2433" s="317"/>
    </row>
    <row r="2434" spans="1:2">
      <c r="A2434" s="1197"/>
      <c r="B2434" s="317"/>
    </row>
    <row r="2435" spans="1:2">
      <c r="A2435" s="1197"/>
      <c r="B2435" s="317"/>
    </row>
    <row r="2436" spans="1:2">
      <c r="A2436" s="1197"/>
      <c r="B2436" s="317"/>
    </row>
    <row r="2437" spans="1:2">
      <c r="A2437" s="1197"/>
      <c r="B2437" s="317"/>
    </row>
    <row r="2438" spans="1:2">
      <c r="A2438" s="1197"/>
      <c r="B2438" s="317"/>
    </row>
    <row r="2439" spans="1:2">
      <c r="A2439" s="1197"/>
      <c r="B2439" s="317"/>
    </row>
    <row r="2440" spans="1:2">
      <c r="A2440" s="1197"/>
      <c r="B2440" s="317"/>
    </row>
    <row r="2441" spans="1:2">
      <c r="A2441" s="1197"/>
      <c r="B2441" s="317"/>
    </row>
    <row r="2442" spans="1:2">
      <c r="A2442" s="1197"/>
      <c r="B2442" s="317"/>
    </row>
    <row r="2443" spans="1:2">
      <c r="A2443" s="1197"/>
      <c r="B2443" s="317"/>
    </row>
    <row r="2444" spans="1:2">
      <c r="A2444" s="1197"/>
      <c r="B2444" s="317"/>
    </row>
    <row r="2445" spans="1:2">
      <c r="A2445" s="1197"/>
      <c r="B2445" s="317"/>
    </row>
    <row r="2446" spans="1:2">
      <c r="A2446" s="1197"/>
      <c r="B2446" s="317"/>
    </row>
    <row r="2447" spans="1:2">
      <c r="A2447" s="1197"/>
      <c r="B2447" s="317"/>
    </row>
    <row r="2448" spans="1:2">
      <c r="A2448" s="1197"/>
      <c r="B2448" s="317"/>
    </row>
    <row r="2449" spans="1:2">
      <c r="A2449" s="1197"/>
      <c r="B2449" s="317"/>
    </row>
    <row r="2450" spans="1:2">
      <c r="A2450" s="1197"/>
      <c r="B2450" s="317"/>
    </row>
    <row r="2451" spans="1:2">
      <c r="A2451" s="1197"/>
      <c r="B2451" s="317"/>
    </row>
    <row r="2452" spans="1:2">
      <c r="A2452" s="1197"/>
      <c r="B2452" s="317"/>
    </row>
    <row r="2453" spans="1:2">
      <c r="A2453" s="1197"/>
      <c r="B2453" s="317"/>
    </row>
    <row r="2454" spans="1:2">
      <c r="A2454" s="1197"/>
      <c r="B2454" s="317"/>
    </row>
    <row r="2455" spans="1:2">
      <c r="A2455" s="1197"/>
      <c r="B2455" s="317"/>
    </row>
    <row r="2456" spans="1:2">
      <c r="A2456" s="1197"/>
      <c r="B2456" s="317"/>
    </row>
    <row r="2457" spans="1:2">
      <c r="A2457" s="1197"/>
      <c r="B2457" s="317"/>
    </row>
    <row r="2458" spans="1:2">
      <c r="A2458" s="1197"/>
      <c r="B2458" s="317"/>
    </row>
    <row r="2459" spans="1:2">
      <c r="A2459" s="1197"/>
      <c r="B2459" s="317"/>
    </row>
    <row r="2460" spans="1:2">
      <c r="A2460" s="1197"/>
      <c r="B2460" s="317"/>
    </row>
    <row r="2461" spans="1:2">
      <c r="A2461" s="1197"/>
      <c r="B2461" s="317"/>
    </row>
    <row r="2462" spans="1:2">
      <c r="A2462" s="1197"/>
      <c r="B2462" s="317"/>
    </row>
    <row r="2463" spans="1:2">
      <c r="A2463" s="1197"/>
      <c r="B2463" s="317"/>
    </row>
    <row r="2464" spans="1:2">
      <c r="A2464" s="1197"/>
      <c r="B2464" s="317"/>
    </row>
    <row r="2465" spans="1:2">
      <c r="A2465" s="1197"/>
      <c r="B2465" s="317"/>
    </row>
    <row r="2466" spans="1:2">
      <c r="A2466" s="1197"/>
      <c r="B2466" s="317"/>
    </row>
    <row r="2467" spans="1:2">
      <c r="A2467" s="1197"/>
      <c r="B2467" s="317"/>
    </row>
    <row r="2468" spans="1:2">
      <c r="A2468" s="1197"/>
      <c r="B2468" s="317"/>
    </row>
    <row r="2469" spans="1:2">
      <c r="A2469" s="1197"/>
      <c r="B2469" s="317"/>
    </row>
    <row r="2470" spans="1:2">
      <c r="A2470" s="1197"/>
      <c r="B2470" s="317"/>
    </row>
    <row r="2471" spans="1:2">
      <c r="A2471" s="1197"/>
      <c r="B2471" s="317"/>
    </row>
    <row r="2472" spans="1:2">
      <c r="A2472" s="1197"/>
      <c r="B2472" s="317"/>
    </row>
    <row r="2473" spans="1:2">
      <c r="A2473" s="1197"/>
      <c r="B2473" s="317"/>
    </row>
    <row r="2474" spans="1:2">
      <c r="A2474" s="1197"/>
      <c r="B2474" s="317"/>
    </row>
    <row r="2475" spans="1:2">
      <c r="A2475" s="1197"/>
      <c r="B2475" s="317"/>
    </row>
    <row r="2476" spans="1:2">
      <c r="A2476" s="1197"/>
      <c r="B2476" s="317"/>
    </row>
    <row r="2477" spans="1:2">
      <c r="A2477" s="1197"/>
      <c r="B2477" s="317"/>
    </row>
    <row r="2478" spans="1:2">
      <c r="A2478" s="1197"/>
      <c r="B2478" s="317"/>
    </row>
    <row r="2479" spans="1:2">
      <c r="A2479" s="1197"/>
      <c r="B2479" s="317"/>
    </row>
    <row r="2480" spans="1:2">
      <c r="A2480" s="1197"/>
      <c r="B2480" s="317"/>
    </row>
    <row r="2481" spans="1:2">
      <c r="A2481" s="1197"/>
      <c r="B2481" s="317"/>
    </row>
    <row r="2482" spans="1:2">
      <c r="A2482" s="1197"/>
      <c r="B2482" s="317"/>
    </row>
    <row r="2483" spans="1:2">
      <c r="A2483" s="1197"/>
      <c r="B2483" s="317"/>
    </row>
    <row r="2484" spans="1:2">
      <c r="A2484" s="1197"/>
      <c r="B2484" s="317"/>
    </row>
    <row r="2485" spans="1:2">
      <c r="A2485" s="1197"/>
      <c r="B2485" s="317"/>
    </row>
    <row r="2486" spans="1:2">
      <c r="A2486" s="1197"/>
      <c r="B2486" s="317"/>
    </row>
    <row r="2487" spans="1:2">
      <c r="A2487" s="1197"/>
      <c r="B2487" s="317"/>
    </row>
    <row r="2488" spans="1:2">
      <c r="A2488" s="1197"/>
      <c r="B2488" s="317"/>
    </row>
    <row r="2489" spans="1:2">
      <c r="A2489" s="1197"/>
      <c r="B2489" s="317"/>
    </row>
    <row r="2490" spans="1:2">
      <c r="A2490" s="1197"/>
      <c r="B2490" s="317"/>
    </row>
    <row r="2491" spans="1:2">
      <c r="A2491" s="1197"/>
      <c r="B2491" s="317"/>
    </row>
    <row r="2492" spans="1:2">
      <c r="A2492" s="1197"/>
      <c r="B2492" s="317"/>
    </row>
    <row r="2493" spans="1:2">
      <c r="A2493" s="1197"/>
      <c r="B2493" s="317"/>
    </row>
    <row r="2494" spans="1:2">
      <c r="A2494" s="1197"/>
      <c r="B2494" s="317"/>
    </row>
    <row r="2495" spans="1:2">
      <c r="A2495" s="1197"/>
      <c r="B2495" s="317"/>
    </row>
    <row r="2496" spans="1:2">
      <c r="A2496" s="1197"/>
      <c r="B2496" s="317"/>
    </row>
    <row r="2497" spans="1:2">
      <c r="A2497" s="1197"/>
      <c r="B2497" s="317"/>
    </row>
    <row r="2498" spans="1:2">
      <c r="A2498" s="1197"/>
      <c r="B2498" s="317"/>
    </row>
    <row r="2499" spans="1:2">
      <c r="A2499" s="1197"/>
      <c r="B2499" s="317"/>
    </row>
    <row r="2500" spans="1:2">
      <c r="A2500" s="1197"/>
      <c r="B2500" s="317"/>
    </row>
    <row r="2501" spans="1:2">
      <c r="A2501" s="1197"/>
      <c r="B2501" s="317"/>
    </row>
    <row r="2502" spans="1:2">
      <c r="A2502" s="1197"/>
      <c r="B2502" s="317"/>
    </row>
    <row r="2503" spans="1:2">
      <c r="A2503" s="1197"/>
      <c r="B2503" s="317"/>
    </row>
    <row r="2504" spans="1:2">
      <c r="A2504" s="1197"/>
      <c r="B2504" s="317"/>
    </row>
    <row r="2505" spans="1:2">
      <c r="A2505" s="1197"/>
      <c r="B2505" s="317"/>
    </row>
    <row r="2506" spans="1:2">
      <c r="A2506" s="1197"/>
      <c r="B2506" s="317"/>
    </row>
    <row r="2507" spans="1:2">
      <c r="A2507" s="1197"/>
      <c r="B2507" s="317"/>
    </row>
    <row r="2508" spans="1:2">
      <c r="A2508" s="1197"/>
      <c r="B2508" s="317"/>
    </row>
    <row r="2509" spans="1:2">
      <c r="A2509" s="1197"/>
      <c r="B2509" s="317"/>
    </row>
    <row r="2510" spans="1:2">
      <c r="A2510" s="1197"/>
      <c r="B2510" s="317"/>
    </row>
    <row r="2511" spans="1:2">
      <c r="A2511" s="1197"/>
      <c r="B2511" s="317"/>
    </row>
    <row r="2512" spans="1:2">
      <c r="A2512" s="1197"/>
      <c r="B2512" s="317"/>
    </row>
    <row r="2513" spans="1:2">
      <c r="A2513" s="1197"/>
      <c r="B2513" s="317"/>
    </row>
    <row r="2514" spans="1:2">
      <c r="A2514" s="1197"/>
      <c r="B2514" s="317"/>
    </row>
    <row r="2515" spans="1:2">
      <c r="A2515" s="1197"/>
      <c r="B2515" s="317"/>
    </row>
    <row r="2516" spans="1:2">
      <c r="A2516" s="1197"/>
      <c r="B2516" s="317"/>
    </row>
    <row r="2517" spans="1:2">
      <c r="A2517" s="1197"/>
      <c r="B2517" s="317"/>
    </row>
    <row r="2518" spans="1:2">
      <c r="A2518" s="1197"/>
      <c r="B2518" s="317"/>
    </row>
    <row r="2519" spans="1:2">
      <c r="A2519" s="1197"/>
      <c r="B2519" s="317"/>
    </row>
    <row r="2520" spans="1:2">
      <c r="A2520" s="1197"/>
      <c r="B2520" s="317"/>
    </row>
    <row r="2521" spans="1:2">
      <c r="A2521" s="1197"/>
      <c r="B2521" s="317"/>
    </row>
    <row r="2522" spans="1:2">
      <c r="A2522" s="1197"/>
      <c r="B2522" s="317"/>
    </row>
    <row r="2523" spans="1:2">
      <c r="A2523" s="1197"/>
      <c r="B2523" s="317"/>
    </row>
    <row r="2524" spans="1:2">
      <c r="A2524" s="1197"/>
      <c r="B2524" s="317"/>
    </row>
    <row r="2525" spans="1:2">
      <c r="A2525" s="1197"/>
      <c r="B2525" s="317"/>
    </row>
    <row r="2526" spans="1:2">
      <c r="A2526" s="1197"/>
      <c r="B2526" s="317"/>
    </row>
    <row r="2527" spans="1:2">
      <c r="A2527" s="1197"/>
      <c r="B2527" s="317"/>
    </row>
    <row r="2528" spans="1:2">
      <c r="A2528" s="1197"/>
      <c r="B2528" s="317"/>
    </row>
    <row r="2529" spans="1:2">
      <c r="A2529" s="1197"/>
      <c r="B2529" s="317"/>
    </row>
    <row r="2530" spans="1:2">
      <c r="A2530" s="1197"/>
      <c r="B2530" s="317"/>
    </row>
    <row r="2531" spans="1:2">
      <c r="A2531" s="1197"/>
      <c r="B2531" s="317"/>
    </row>
    <row r="2532" spans="1:2">
      <c r="A2532" s="1197"/>
      <c r="B2532" s="317"/>
    </row>
    <row r="2533" spans="1:2">
      <c r="A2533" s="1197"/>
      <c r="B2533" s="317"/>
    </row>
    <row r="2534" spans="1:2">
      <c r="A2534" s="1197"/>
      <c r="B2534" s="317"/>
    </row>
    <row r="2535" spans="1:2">
      <c r="A2535" s="1197"/>
      <c r="B2535" s="317"/>
    </row>
    <row r="2536" spans="1:2">
      <c r="A2536" s="1197"/>
      <c r="B2536" s="317"/>
    </row>
    <row r="2537" spans="1:2">
      <c r="A2537" s="1197"/>
      <c r="B2537" s="317"/>
    </row>
    <row r="2538" spans="1:2">
      <c r="A2538" s="1197"/>
      <c r="B2538" s="317"/>
    </row>
    <row r="2539" spans="1:2">
      <c r="A2539" s="1197"/>
      <c r="B2539" s="317"/>
    </row>
    <row r="2540" spans="1:2">
      <c r="A2540" s="1197"/>
      <c r="B2540" s="317"/>
    </row>
    <row r="2541" spans="1:2">
      <c r="A2541" s="1197"/>
      <c r="B2541" s="317"/>
    </row>
    <row r="2542" spans="1:2">
      <c r="A2542" s="1197"/>
      <c r="B2542" s="317"/>
    </row>
    <row r="2543" spans="1:2">
      <c r="A2543" s="1197"/>
      <c r="B2543" s="317"/>
    </row>
    <row r="2544" spans="1:2">
      <c r="A2544" s="1197"/>
      <c r="B2544" s="317"/>
    </row>
    <row r="2545" spans="1:2">
      <c r="A2545" s="1197"/>
      <c r="B2545" s="317"/>
    </row>
    <row r="2546" spans="1:2">
      <c r="A2546" s="1197"/>
      <c r="B2546" s="317"/>
    </row>
    <row r="2547" spans="1:2">
      <c r="A2547" s="1197"/>
      <c r="B2547" s="317"/>
    </row>
    <row r="2548" spans="1:2">
      <c r="A2548" s="1197"/>
      <c r="B2548" s="317"/>
    </row>
    <row r="2549" spans="1:2">
      <c r="A2549" s="1197"/>
      <c r="B2549" s="317"/>
    </row>
    <row r="2550" spans="1:2">
      <c r="A2550" s="1197"/>
      <c r="B2550" s="317"/>
    </row>
    <row r="2551" spans="1:2">
      <c r="A2551" s="1197"/>
      <c r="B2551" s="317"/>
    </row>
    <row r="2552" spans="1:2">
      <c r="A2552" s="1197"/>
      <c r="B2552" s="317"/>
    </row>
    <row r="2553" spans="1:2">
      <c r="A2553" s="1197"/>
      <c r="B2553" s="317"/>
    </row>
    <row r="2554" spans="1:2">
      <c r="A2554" s="1197"/>
      <c r="B2554" s="317"/>
    </row>
    <row r="2555" spans="1:2">
      <c r="A2555" s="1197"/>
      <c r="B2555" s="317"/>
    </row>
    <row r="2556" spans="1:2">
      <c r="A2556" s="1197"/>
      <c r="B2556" s="317"/>
    </row>
    <row r="2557" spans="1:2">
      <c r="A2557" s="1197"/>
      <c r="B2557" s="317"/>
    </row>
    <row r="2558" spans="1:2">
      <c r="A2558" s="1197"/>
      <c r="B2558" s="317"/>
    </row>
    <row r="2559" spans="1:2">
      <c r="A2559" s="1197"/>
      <c r="B2559" s="317"/>
    </row>
    <row r="2560" spans="1:2">
      <c r="A2560" s="1197"/>
      <c r="B2560" s="317"/>
    </row>
    <row r="2561" spans="1:2">
      <c r="A2561" s="1197"/>
      <c r="B2561" s="317"/>
    </row>
    <row r="2562" spans="1:2">
      <c r="A2562" s="1197"/>
      <c r="B2562" s="317"/>
    </row>
    <row r="2563" spans="1:2">
      <c r="A2563" s="1197"/>
      <c r="B2563" s="317"/>
    </row>
    <row r="2564" spans="1:2">
      <c r="A2564" s="1197"/>
      <c r="B2564" s="317"/>
    </row>
    <row r="2565" spans="1:2">
      <c r="A2565" s="1197"/>
      <c r="B2565" s="317"/>
    </row>
    <row r="2566" spans="1:2">
      <c r="A2566" s="1197"/>
      <c r="B2566" s="317"/>
    </row>
    <row r="2567" spans="1:2">
      <c r="A2567" s="1197"/>
      <c r="B2567" s="317"/>
    </row>
    <row r="2568" spans="1:2">
      <c r="A2568" s="1197"/>
      <c r="B2568" s="317"/>
    </row>
    <row r="2569" spans="1:2">
      <c r="A2569" s="1197"/>
      <c r="B2569" s="317"/>
    </row>
    <row r="2570" spans="1:2">
      <c r="A2570" s="1197"/>
      <c r="B2570" s="317"/>
    </row>
    <row r="2571" spans="1:2">
      <c r="A2571" s="1197"/>
      <c r="B2571" s="317"/>
    </row>
    <row r="2572" spans="1:2">
      <c r="A2572" s="1197"/>
      <c r="B2572" s="317"/>
    </row>
    <row r="2573" spans="1:2">
      <c r="A2573" s="1197"/>
      <c r="B2573" s="317"/>
    </row>
    <row r="2574" spans="1:2">
      <c r="A2574" s="1197"/>
      <c r="B2574" s="317"/>
    </row>
    <row r="2575" spans="1:2">
      <c r="A2575" s="1197"/>
      <c r="B2575" s="317"/>
    </row>
    <row r="2576" spans="1:2">
      <c r="A2576" s="1197"/>
      <c r="B2576" s="317"/>
    </row>
    <row r="2577" spans="1:2">
      <c r="A2577" s="1197"/>
      <c r="B2577" s="317"/>
    </row>
    <row r="2578" spans="1:2">
      <c r="A2578" s="1197"/>
      <c r="B2578" s="317"/>
    </row>
    <row r="2579" spans="1:2">
      <c r="A2579" s="1197"/>
      <c r="B2579" s="317"/>
    </row>
    <row r="2580" spans="1:2">
      <c r="A2580" s="1197"/>
      <c r="B2580" s="317"/>
    </row>
    <row r="2581" spans="1:2">
      <c r="A2581" s="1197"/>
      <c r="B2581" s="317"/>
    </row>
    <row r="2582" spans="1:2">
      <c r="A2582" s="1197"/>
      <c r="B2582" s="317"/>
    </row>
    <row r="2583" spans="1:2">
      <c r="A2583" s="1197"/>
      <c r="B2583" s="317"/>
    </row>
    <row r="2584" spans="1:2">
      <c r="A2584" s="1197"/>
      <c r="B2584" s="317"/>
    </row>
    <row r="2585" spans="1:2">
      <c r="A2585" s="1197"/>
      <c r="B2585" s="317"/>
    </row>
    <row r="2586" spans="1:2">
      <c r="A2586" s="1197"/>
      <c r="B2586" s="317"/>
    </row>
    <row r="2587" spans="1:2">
      <c r="A2587" s="1197"/>
      <c r="B2587" s="317"/>
    </row>
    <row r="2588" spans="1:2">
      <c r="A2588" s="1197"/>
      <c r="B2588" s="317"/>
    </row>
    <row r="2589" spans="1:2">
      <c r="A2589" s="1197"/>
      <c r="B2589" s="317"/>
    </row>
    <row r="2590" spans="1:2">
      <c r="A2590" s="1197"/>
      <c r="B2590" s="317"/>
    </row>
    <row r="2591" spans="1:2">
      <c r="A2591" s="1197"/>
      <c r="B2591" s="317"/>
    </row>
    <row r="2592" spans="1:2">
      <c r="A2592" s="1197"/>
      <c r="B2592" s="317"/>
    </row>
    <row r="2593" spans="1:2">
      <c r="A2593" s="1197"/>
      <c r="B2593" s="317"/>
    </row>
    <row r="2594" spans="1:2">
      <c r="A2594" s="1197"/>
      <c r="B2594" s="317"/>
    </row>
    <row r="2595" spans="1:2">
      <c r="A2595" s="1197"/>
      <c r="B2595" s="317"/>
    </row>
    <row r="2596" spans="1:2">
      <c r="A2596" s="1197"/>
      <c r="B2596" s="317"/>
    </row>
    <row r="2597" spans="1:2">
      <c r="A2597" s="1197"/>
      <c r="B2597" s="317"/>
    </row>
    <row r="2598" spans="1:2">
      <c r="A2598" s="1197"/>
      <c r="B2598" s="317"/>
    </row>
    <row r="2599" spans="1:2">
      <c r="A2599" s="1197"/>
      <c r="B2599" s="317"/>
    </row>
    <row r="2600" spans="1:2">
      <c r="A2600" s="1197"/>
      <c r="B2600" s="317"/>
    </row>
    <row r="2601" spans="1:2">
      <c r="A2601" s="1197"/>
      <c r="B2601" s="317"/>
    </row>
    <row r="2602" spans="1:2">
      <c r="A2602" s="1197"/>
      <c r="B2602" s="317"/>
    </row>
    <row r="2603" spans="1:2">
      <c r="A2603" s="1197"/>
      <c r="B2603" s="317"/>
    </row>
    <row r="2604" spans="1:2">
      <c r="A2604" s="1197"/>
      <c r="B2604" s="317"/>
    </row>
    <row r="2605" spans="1:2">
      <c r="A2605" s="1197"/>
      <c r="B2605" s="317"/>
    </row>
    <row r="2606" spans="1:2">
      <c r="A2606" s="1197"/>
      <c r="B2606" s="317"/>
    </row>
    <row r="2607" spans="1:2">
      <c r="A2607" s="1197"/>
      <c r="B2607" s="317"/>
    </row>
    <row r="2608" spans="1:2">
      <c r="A2608" s="1197"/>
      <c r="B2608" s="317"/>
    </row>
    <row r="2609" spans="1:2">
      <c r="A2609" s="1197"/>
      <c r="B2609" s="317"/>
    </row>
    <row r="2610" spans="1:2">
      <c r="A2610" s="1197"/>
      <c r="B2610" s="317"/>
    </row>
    <row r="2611" spans="1:2">
      <c r="A2611" s="1197"/>
      <c r="B2611" s="317"/>
    </row>
    <row r="2612" spans="1:2">
      <c r="A2612" s="1197"/>
      <c r="B2612" s="317"/>
    </row>
    <row r="2613" spans="1:2">
      <c r="A2613" s="1197"/>
      <c r="B2613" s="317"/>
    </row>
    <row r="2614" spans="1:2">
      <c r="A2614" s="1197"/>
      <c r="B2614" s="317"/>
    </row>
    <row r="2615" spans="1:2">
      <c r="A2615" s="1197"/>
      <c r="B2615" s="317"/>
    </row>
    <row r="2616" spans="1:2">
      <c r="A2616" s="1197"/>
      <c r="B2616" s="317"/>
    </row>
    <row r="2617" spans="1:2">
      <c r="A2617" s="1197"/>
      <c r="B2617" s="317"/>
    </row>
    <row r="2618" spans="1:2">
      <c r="A2618" s="1197"/>
      <c r="B2618" s="317"/>
    </row>
    <row r="2619" spans="1:2">
      <c r="A2619" s="1197"/>
      <c r="B2619" s="317"/>
    </row>
    <row r="2620" spans="1:2">
      <c r="A2620" s="1197"/>
      <c r="B2620" s="317"/>
    </row>
    <row r="2621" spans="1:2">
      <c r="A2621" s="1197"/>
      <c r="B2621" s="317"/>
    </row>
    <row r="2622" spans="1:2">
      <c r="A2622" s="1197"/>
      <c r="B2622" s="317"/>
    </row>
    <row r="2623" spans="1:2">
      <c r="A2623" s="1197"/>
      <c r="B2623" s="317"/>
    </row>
    <row r="2624" spans="1:2">
      <c r="A2624" s="1197"/>
      <c r="B2624" s="317"/>
    </row>
    <row r="2625" spans="1:2">
      <c r="A2625" s="1197"/>
      <c r="B2625" s="317"/>
    </row>
    <row r="2626" spans="1:2">
      <c r="A2626" s="1197"/>
      <c r="B2626" s="317"/>
    </row>
    <row r="2627" spans="1:2">
      <c r="A2627" s="1197"/>
      <c r="B2627" s="317"/>
    </row>
    <row r="2628" spans="1:2">
      <c r="A2628" s="1197"/>
      <c r="B2628" s="317"/>
    </row>
    <row r="2629" spans="1:2">
      <c r="A2629" s="1197"/>
      <c r="B2629" s="317"/>
    </row>
    <row r="2630" spans="1:2">
      <c r="A2630" s="1197"/>
      <c r="B2630" s="317"/>
    </row>
    <row r="2631" spans="1:2">
      <c r="A2631" s="1197"/>
      <c r="B2631" s="317"/>
    </row>
    <row r="2632" spans="1:2">
      <c r="A2632" s="1197"/>
      <c r="B2632" s="317"/>
    </row>
    <row r="2633" spans="1:2">
      <c r="A2633" s="1197"/>
      <c r="B2633" s="317"/>
    </row>
    <row r="2634" spans="1:2">
      <c r="A2634" s="1197"/>
      <c r="B2634" s="317"/>
    </row>
    <row r="2635" spans="1:2">
      <c r="A2635" s="1197"/>
      <c r="B2635" s="317"/>
    </row>
    <row r="2636" spans="1:2">
      <c r="A2636" s="1197"/>
      <c r="B2636" s="317"/>
    </row>
    <row r="2637" spans="1:2">
      <c r="A2637" s="1197"/>
      <c r="B2637" s="317"/>
    </row>
    <row r="2638" spans="1:2">
      <c r="A2638" s="1197"/>
      <c r="B2638" s="317"/>
    </row>
    <row r="2639" spans="1:2">
      <c r="A2639" s="1197"/>
      <c r="B2639" s="317"/>
    </row>
    <row r="2640" spans="1:2">
      <c r="A2640" s="1197"/>
      <c r="B2640" s="317"/>
    </row>
    <row r="2641" spans="1:2">
      <c r="A2641" s="1197"/>
      <c r="B2641" s="317"/>
    </row>
    <row r="2642" spans="1:2">
      <c r="A2642" s="1197"/>
      <c r="B2642" s="317"/>
    </row>
    <row r="2643" spans="1:2">
      <c r="A2643" s="1197"/>
      <c r="B2643" s="317"/>
    </row>
    <row r="2644" spans="1:2">
      <c r="A2644" s="1197"/>
      <c r="B2644" s="317"/>
    </row>
    <row r="2645" spans="1:2">
      <c r="A2645" s="1197"/>
      <c r="B2645" s="317"/>
    </row>
    <row r="2646" spans="1:2">
      <c r="A2646" s="1197"/>
      <c r="B2646" s="317"/>
    </row>
    <row r="2647" spans="1:2">
      <c r="A2647" s="1197"/>
      <c r="B2647" s="317"/>
    </row>
    <row r="2648" spans="1:2">
      <c r="A2648" s="1197"/>
      <c r="B2648" s="317"/>
    </row>
    <row r="2649" spans="1:2">
      <c r="A2649" s="1197"/>
      <c r="B2649" s="317"/>
    </row>
    <row r="2650" spans="1:2">
      <c r="A2650" s="1197"/>
      <c r="B2650" s="317"/>
    </row>
    <row r="2651" spans="1:2">
      <c r="A2651" s="1197"/>
      <c r="B2651" s="317"/>
    </row>
    <row r="2652" spans="1:2">
      <c r="A2652" s="1197"/>
      <c r="B2652" s="317"/>
    </row>
    <row r="2653" spans="1:2">
      <c r="A2653" s="1197"/>
      <c r="B2653" s="317"/>
    </row>
    <row r="2654" spans="1:2">
      <c r="A2654" s="1197"/>
      <c r="B2654" s="317"/>
    </row>
    <row r="2655" spans="1:2">
      <c r="A2655" s="1197"/>
      <c r="B2655" s="317"/>
    </row>
    <row r="2656" spans="1:2">
      <c r="A2656" s="1197"/>
      <c r="B2656" s="317"/>
    </row>
    <row r="2657" spans="1:2">
      <c r="A2657" s="1197"/>
      <c r="B2657" s="317"/>
    </row>
    <row r="2658" spans="1:2">
      <c r="A2658" s="1197"/>
      <c r="B2658" s="317"/>
    </row>
    <row r="2659" spans="1:2">
      <c r="A2659" s="1197"/>
      <c r="B2659" s="317"/>
    </row>
    <row r="2660" spans="1:2">
      <c r="A2660" s="1197"/>
      <c r="B2660" s="317"/>
    </row>
    <row r="2661" spans="1:2">
      <c r="A2661" s="1197"/>
      <c r="B2661" s="317"/>
    </row>
    <row r="2662" spans="1:2">
      <c r="A2662" s="1197"/>
      <c r="B2662" s="317"/>
    </row>
    <row r="2663" spans="1:2">
      <c r="A2663" s="1197"/>
      <c r="B2663" s="317"/>
    </row>
    <row r="2664" spans="1:2">
      <c r="A2664" s="1197"/>
      <c r="B2664" s="317"/>
    </row>
    <row r="2665" spans="1:2">
      <c r="A2665" s="1197"/>
      <c r="B2665" s="317"/>
    </row>
    <row r="2666" spans="1:2">
      <c r="A2666" s="1197"/>
      <c r="B2666" s="317"/>
    </row>
    <row r="2667" spans="1:2">
      <c r="A2667" s="1197"/>
      <c r="B2667" s="317"/>
    </row>
    <row r="2668" spans="1:2">
      <c r="A2668" s="1197"/>
      <c r="B2668" s="317"/>
    </row>
    <row r="2669" spans="1:2">
      <c r="A2669" s="1197"/>
      <c r="B2669" s="317"/>
    </row>
    <row r="2670" spans="1:2">
      <c r="A2670" s="1197"/>
      <c r="B2670" s="317"/>
    </row>
    <row r="2671" spans="1:2">
      <c r="A2671" s="1197"/>
      <c r="B2671" s="317"/>
    </row>
    <row r="2672" spans="1:2">
      <c r="A2672" s="1197"/>
      <c r="B2672" s="317"/>
    </row>
    <row r="2673" spans="1:2">
      <c r="A2673" s="1197"/>
      <c r="B2673" s="317"/>
    </row>
    <row r="2674" spans="1:2">
      <c r="A2674" s="1197"/>
      <c r="B2674" s="317"/>
    </row>
    <row r="2675" spans="1:2">
      <c r="A2675" s="1197"/>
      <c r="B2675" s="317"/>
    </row>
    <row r="2676" spans="1:2">
      <c r="A2676" s="1197"/>
      <c r="B2676" s="317"/>
    </row>
    <row r="2677" spans="1:2">
      <c r="A2677" s="1197"/>
      <c r="B2677" s="317"/>
    </row>
    <row r="2678" spans="1:2">
      <c r="A2678" s="1197"/>
      <c r="B2678" s="317"/>
    </row>
    <row r="2679" spans="1:2">
      <c r="A2679" s="1197"/>
      <c r="B2679" s="317"/>
    </row>
    <row r="2680" spans="1:2">
      <c r="A2680" s="1197"/>
      <c r="B2680" s="317"/>
    </row>
    <row r="2681" spans="1:2">
      <c r="A2681" s="1197"/>
      <c r="B2681" s="317"/>
    </row>
    <row r="2682" spans="1:2">
      <c r="A2682" s="1197"/>
      <c r="B2682" s="317"/>
    </row>
    <row r="2683" spans="1:2">
      <c r="A2683" s="1197"/>
      <c r="B2683" s="317"/>
    </row>
    <row r="2684" spans="1:2">
      <c r="A2684" s="1197"/>
      <c r="B2684" s="317"/>
    </row>
    <row r="2685" spans="1:2">
      <c r="A2685" s="1197"/>
      <c r="B2685" s="317"/>
    </row>
    <row r="2686" spans="1:2">
      <c r="A2686" s="1197"/>
      <c r="B2686" s="317"/>
    </row>
    <row r="2687" spans="1:2">
      <c r="A2687" s="1197"/>
      <c r="B2687" s="317"/>
    </row>
    <row r="2688" spans="1:2">
      <c r="A2688" s="1197"/>
      <c r="B2688" s="317"/>
    </row>
    <row r="2689" spans="1:2">
      <c r="A2689" s="1197"/>
      <c r="B2689" s="317"/>
    </row>
    <row r="2690" spans="1:2">
      <c r="A2690" s="1197"/>
      <c r="B2690" s="317"/>
    </row>
    <row r="2691" spans="1:2">
      <c r="A2691" s="1197"/>
      <c r="B2691" s="317"/>
    </row>
    <row r="2692" spans="1:2">
      <c r="A2692" s="1197"/>
      <c r="B2692" s="317"/>
    </row>
    <row r="2693" spans="1:2">
      <c r="A2693" s="1197"/>
      <c r="B2693" s="317"/>
    </row>
    <row r="2694" spans="1:2">
      <c r="A2694" s="1197"/>
      <c r="B2694" s="317"/>
    </row>
    <row r="2695" spans="1:2">
      <c r="A2695" s="1197"/>
      <c r="B2695" s="317"/>
    </row>
    <row r="2696" spans="1:2">
      <c r="A2696" s="1197"/>
      <c r="B2696" s="317"/>
    </row>
    <row r="2697" spans="1:2">
      <c r="A2697" s="1197"/>
      <c r="B2697" s="317"/>
    </row>
    <row r="2698" spans="1:2">
      <c r="A2698" s="1197"/>
      <c r="B2698" s="317"/>
    </row>
    <row r="2699" spans="1:2">
      <c r="A2699" s="1197"/>
      <c r="B2699" s="317"/>
    </row>
    <row r="2700" spans="1:2">
      <c r="A2700" s="1197"/>
      <c r="B2700" s="317"/>
    </row>
    <row r="2701" spans="1:2">
      <c r="A2701" s="1197"/>
      <c r="B2701" s="317"/>
    </row>
    <row r="2702" spans="1:2">
      <c r="A2702" s="1197"/>
      <c r="B2702" s="317"/>
    </row>
    <row r="2703" spans="1:2">
      <c r="A2703" s="1197"/>
      <c r="B2703" s="317"/>
    </row>
    <row r="2704" spans="1:2">
      <c r="A2704" s="1197"/>
      <c r="B2704" s="317"/>
    </row>
    <row r="2705" spans="1:2">
      <c r="A2705" s="1197"/>
      <c r="B2705" s="317"/>
    </row>
    <row r="2706" spans="1:2">
      <c r="A2706" s="1197"/>
      <c r="B2706" s="317"/>
    </row>
    <row r="2707" spans="1:2">
      <c r="A2707" s="1197"/>
      <c r="B2707" s="317"/>
    </row>
    <row r="2708" spans="1:2">
      <c r="A2708" s="1197"/>
      <c r="B2708" s="317"/>
    </row>
    <row r="2709" spans="1:2">
      <c r="A2709" s="1197"/>
      <c r="B2709" s="317"/>
    </row>
    <row r="2710" spans="1:2">
      <c r="A2710" s="1197"/>
      <c r="B2710" s="317"/>
    </row>
    <row r="2711" spans="1:2">
      <c r="A2711" s="1197"/>
      <c r="B2711" s="317"/>
    </row>
    <row r="2712" spans="1:2">
      <c r="A2712" s="1197"/>
      <c r="B2712" s="317"/>
    </row>
    <row r="2713" spans="1:2">
      <c r="A2713" s="1197"/>
      <c r="B2713" s="317"/>
    </row>
    <row r="2714" spans="1:2">
      <c r="A2714" s="1197"/>
      <c r="B2714" s="317"/>
    </row>
    <row r="2715" spans="1:2">
      <c r="A2715" s="1197"/>
      <c r="B2715" s="317"/>
    </row>
    <row r="2716" spans="1:2">
      <c r="A2716" s="1197"/>
      <c r="B2716" s="317"/>
    </row>
    <row r="2717" spans="1:2">
      <c r="A2717" s="1197"/>
      <c r="B2717" s="317"/>
    </row>
    <row r="2718" spans="1:2">
      <c r="A2718" s="1197"/>
      <c r="B2718" s="317"/>
    </row>
    <row r="2719" spans="1:2">
      <c r="A2719" s="1197"/>
      <c r="B2719" s="317"/>
    </row>
    <row r="2720" spans="1:2">
      <c r="A2720" s="1197"/>
      <c r="B2720" s="317"/>
    </row>
    <row r="2721" spans="1:2">
      <c r="A2721" s="1197"/>
      <c r="B2721" s="317"/>
    </row>
    <row r="2722" spans="1:2">
      <c r="A2722" s="1197"/>
      <c r="B2722" s="317"/>
    </row>
    <row r="2723" spans="1:2">
      <c r="A2723" s="1197"/>
      <c r="B2723" s="317"/>
    </row>
    <row r="2724" spans="1:2">
      <c r="A2724" s="1197"/>
      <c r="B2724" s="317"/>
    </row>
    <row r="2725" spans="1:2">
      <c r="A2725" s="1197"/>
      <c r="B2725" s="317"/>
    </row>
    <row r="2726" spans="1:2">
      <c r="A2726" s="1197"/>
      <c r="B2726" s="317"/>
    </row>
    <row r="2727" spans="1:2">
      <c r="A2727" s="1197"/>
      <c r="B2727" s="317"/>
    </row>
    <row r="2728" spans="1:2">
      <c r="A2728" s="1197"/>
      <c r="B2728" s="317"/>
    </row>
    <row r="2729" spans="1:2">
      <c r="A2729" s="1197"/>
      <c r="B2729" s="317"/>
    </row>
    <row r="2730" spans="1:2">
      <c r="A2730" s="1197"/>
      <c r="B2730" s="317"/>
    </row>
    <row r="2731" spans="1:2">
      <c r="A2731" s="1197"/>
      <c r="B2731" s="317"/>
    </row>
    <row r="2732" spans="1:2">
      <c r="A2732" s="1197"/>
      <c r="B2732" s="317"/>
    </row>
    <row r="2733" spans="1:2">
      <c r="A2733" s="1197"/>
      <c r="B2733" s="317"/>
    </row>
    <row r="2734" spans="1:2">
      <c r="A2734" s="1197"/>
      <c r="B2734" s="317"/>
    </row>
    <row r="2735" spans="1:2">
      <c r="A2735" s="1197"/>
      <c r="B2735" s="317"/>
    </row>
    <row r="2736" spans="1:2">
      <c r="A2736" s="1197"/>
      <c r="B2736" s="317"/>
    </row>
    <row r="2737" spans="1:2">
      <c r="A2737" s="1197"/>
      <c r="B2737" s="317"/>
    </row>
    <row r="2738" spans="1:2">
      <c r="A2738" s="1197"/>
      <c r="B2738" s="317"/>
    </row>
    <row r="2739" spans="1:2">
      <c r="A2739" s="1197"/>
      <c r="B2739" s="317"/>
    </row>
    <row r="2740" spans="1:2">
      <c r="A2740" s="1197"/>
      <c r="B2740" s="317"/>
    </row>
    <row r="2741" spans="1:2">
      <c r="A2741" s="1197"/>
      <c r="B2741" s="317"/>
    </row>
    <row r="2742" spans="1:2">
      <c r="A2742" s="1197"/>
      <c r="B2742" s="317"/>
    </row>
    <row r="2743" spans="1:2">
      <c r="A2743" s="1197"/>
      <c r="B2743" s="317"/>
    </row>
    <row r="2744" spans="1:2">
      <c r="A2744" s="1197"/>
      <c r="B2744" s="317"/>
    </row>
    <row r="2745" spans="1:2">
      <c r="A2745" s="1197"/>
      <c r="B2745" s="317"/>
    </row>
    <row r="2746" spans="1:2">
      <c r="A2746" s="1197"/>
      <c r="B2746" s="317"/>
    </row>
    <row r="2747" spans="1:2">
      <c r="A2747" s="1197"/>
      <c r="B2747" s="317"/>
    </row>
    <row r="2748" spans="1:2">
      <c r="A2748" s="1197"/>
      <c r="B2748" s="317"/>
    </row>
    <row r="2749" spans="1:2">
      <c r="A2749" s="1197"/>
      <c r="B2749" s="317"/>
    </row>
    <row r="2750" spans="1:2">
      <c r="A2750" s="1197"/>
      <c r="B2750" s="317"/>
    </row>
    <row r="2751" spans="1:2">
      <c r="A2751" s="1197"/>
      <c r="B2751" s="317"/>
    </row>
    <row r="2752" spans="1:2">
      <c r="A2752" s="1197"/>
      <c r="B2752" s="317"/>
    </row>
    <row r="2753" spans="1:2">
      <c r="A2753" s="1197"/>
      <c r="B2753" s="317"/>
    </row>
    <row r="2754" spans="1:2">
      <c r="A2754" s="1197"/>
      <c r="B2754" s="317"/>
    </row>
    <row r="2755" spans="1:2">
      <c r="A2755" s="1197"/>
      <c r="B2755" s="317"/>
    </row>
    <row r="2756" spans="1:2">
      <c r="A2756" s="1197"/>
      <c r="B2756" s="317"/>
    </row>
    <row r="2757" spans="1:2">
      <c r="A2757" s="1197"/>
      <c r="B2757" s="317"/>
    </row>
    <row r="2758" spans="1:2">
      <c r="A2758" s="1197"/>
      <c r="B2758" s="317"/>
    </row>
    <row r="2759" spans="1:2">
      <c r="A2759" s="1197"/>
      <c r="B2759" s="317"/>
    </row>
    <row r="2760" spans="1:2">
      <c r="A2760" s="1197"/>
      <c r="B2760" s="317"/>
    </row>
    <row r="2761" spans="1:2">
      <c r="A2761" s="1197"/>
      <c r="B2761" s="317"/>
    </row>
    <row r="2762" spans="1:2">
      <c r="A2762" s="1197"/>
      <c r="B2762" s="317"/>
    </row>
    <row r="2763" spans="1:2">
      <c r="A2763" s="1197"/>
      <c r="B2763" s="317"/>
    </row>
    <row r="2764" spans="1:2">
      <c r="A2764" s="1197"/>
      <c r="B2764" s="317"/>
    </row>
    <row r="2765" spans="1:2">
      <c r="A2765" s="1197"/>
      <c r="B2765" s="317"/>
    </row>
    <row r="2766" spans="1:2">
      <c r="A2766" s="1197"/>
      <c r="B2766" s="317"/>
    </row>
    <row r="2767" spans="1:2">
      <c r="A2767" s="1197"/>
      <c r="B2767" s="317"/>
    </row>
    <row r="2768" spans="1:2">
      <c r="A2768" s="1197"/>
      <c r="B2768" s="317"/>
    </row>
    <row r="2769" spans="1:2">
      <c r="A2769" s="1197"/>
      <c r="B2769" s="317"/>
    </row>
    <row r="2770" spans="1:2">
      <c r="A2770" s="1197"/>
      <c r="B2770" s="317"/>
    </row>
    <row r="2771" spans="1:2">
      <c r="A2771" s="1197"/>
      <c r="B2771" s="317"/>
    </row>
    <row r="2772" spans="1:2">
      <c r="A2772" s="1197"/>
      <c r="B2772" s="317"/>
    </row>
    <row r="2773" spans="1:2">
      <c r="A2773" s="1197"/>
      <c r="B2773" s="317"/>
    </row>
    <row r="2774" spans="1:2">
      <c r="A2774" s="1197"/>
      <c r="B2774" s="317"/>
    </row>
    <row r="2775" spans="1:2">
      <c r="A2775" s="1197"/>
      <c r="B2775" s="317"/>
    </row>
    <row r="2776" spans="1:2">
      <c r="A2776" s="1197"/>
      <c r="B2776" s="317"/>
    </row>
    <row r="2777" spans="1:2">
      <c r="A2777" s="1197"/>
      <c r="B2777" s="317"/>
    </row>
    <row r="2778" spans="1:2">
      <c r="A2778" s="1197"/>
      <c r="B2778" s="317"/>
    </row>
    <row r="2779" spans="1:2">
      <c r="A2779" s="1197"/>
      <c r="B2779" s="317"/>
    </row>
    <row r="2780" spans="1:2">
      <c r="A2780" s="1197"/>
      <c r="B2780" s="317"/>
    </row>
    <row r="2781" spans="1:2">
      <c r="A2781" s="1197"/>
      <c r="B2781" s="317"/>
    </row>
    <row r="2782" spans="1:2">
      <c r="A2782" s="1197"/>
      <c r="B2782" s="317"/>
    </row>
    <row r="2783" spans="1:2">
      <c r="A2783" s="1197"/>
      <c r="B2783" s="317"/>
    </row>
    <row r="2784" spans="1:2">
      <c r="A2784" s="1197"/>
      <c r="B2784" s="317"/>
    </row>
    <row r="2785" spans="1:2">
      <c r="A2785" s="1197"/>
      <c r="B2785" s="317"/>
    </row>
    <row r="2786" spans="1:2">
      <c r="A2786" s="1197"/>
      <c r="B2786" s="317"/>
    </row>
    <row r="2787" spans="1:2">
      <c r="A2787" s="1197"/>
      <c r="B2787" s="317"/>
    </row>
    <row r="2788" spans="1:2">
      <c r="A2788" s="1197"/>
      <c r="B2788" s="317"/>
    </row>
    <row r="2789" spans="1:2">
      <c r="A2789" s="1197"/>
      <c r="B2789" s="317"/>
    </row>
    <row r="2790" spans="1:2">
      <c r="A2790" s="1197"/>
      <c r="B2790" s="317"/>
    </row>
    <row r="2791" spans="1:2">
      <c r="A2791" s="1197"/>
      <c r="B2791" s="317"/>
    </row>
    <row r="2792" spans="1:2">
      <c r="A2792" s="1197"/>
      <c r="B2792" s="317"/>
    </row>
    <row r="2793" spans="1:2">
      <c r="A2793" s="1197"/>
      <c r="B2793" s="317"/>
    </row>
    <row r="2794" spans="1:2">
      <c r="A2794" s="1197"/>
      <c r="B2794" s="317"/>
    </row>
    <row r="2795" spans="1:2">
      <c r="A2795" s="1197"/>
      <c r="B2795" s="317"/>
    </row>
    <row r="2796" spans="1:2">
      <c r="A2796" s="1197"/>
      <c r="B2796" s="317"/>
    </row>
    <row r="2797" spans="1:2">
      <c r="A2797" s="1197"/>
      <c r="B2797" s="317"/>
    </row>
    <row r="2798" spans="1:2">
      <c r="A2798" s="1197"/>
      <c r="B2798" s="317"/>
    </row>
    <row r="2799" spans="1:2">
      <c r="A2799" s="1197"/>
      <c r="B2799" s="317"/>
    </row>
    <row r="2800" spans="1:2">
      <c r="A2800" s="1197"/>
      <c r="B2800" s="317"/>
    </row>
    <row r="2801" spans="1:2">
      <c r="A2801" s="1197"/>
      <c r="B2801" s="317"/>
    </row>
    <row r="2802" spans="1:2">
      <c r="A2802" s="1197"/>
      <c r="B2802" s="317"/>
    </row>
    <row r="2803" spans="1:2">
      <c r="A2803" s="1197"/>
      <c r="B2803" s="317"/>
    </row>
    <row r="2804" spans="1:2">
      <c r="A2804" s="1197"/>
      <c r="B2804" s="317"/>
    </row>
    <row r="2805" spans="1:2">
      <c r="A2805" s="1197"/>
      <c r="B2805" s="317"/>
    </row>
    <row r="2806" spans="1:2">
      <c r="A2806" s="1197"/>
      <c r="B2806" s="317"/>
    </row>
    <row r="2807" spans="1:2">
      <c r="A2807" s="1197"/>
      <c r="B2807" s="317"/>
    </row>
    <row r="2808" spans="1:2">
      <c r="A2808" s="1197"/>
      <c r="B2808" s="317"/>
    </row>
    <row r="2809" spans="1:2">
      <c r="A2809" s="1197"/>
      <c r="B2809" s="317"/>
    </row>
    <row r="2810" spans="1:2">
      <c r="A2810" s="1197"/>
      <c r="B2810" s="317"/>
    </row>
    <row r="2811" spans="1:2">
      <c r="A2811" s="1197"/>
      <c r="B2811" s="317"/>
    </row>
    <row r="2812" spans="1:2">
      <c r="A2812" s="1197"/>
      <c r="B2812" s="317"/>
    </row>
    <row r="2813" spans="1:2">
      <c r="A2813" s="1197"/>
      <c r="B2813" s="317"/>
    </row>
    <row r="2814" spans="1:2">
      <c r="A2814" s="1197"/>
      <c r="B2814" s="317"/>
    </row>
    <row r="2815" spans="1:2">
      <c r="A2815" s="1197"/>
      <c r="B2815" s="317"/>
    </row>
    <row r="2816" spans="1:2">
      <c r="A2816" s="1197"/>
      <c r="B2816" s="317"/>
    </row>
    <row r="2817" spans="1:2">
      <c r="A2817" s="1197"/>
      <c r="B2817" s="317"/>
    </row>
    <row r="2818" spans="1:2">
      <c r="A2818" s="1197"/>
      <c r="B2818" s="317"/>
    </row>
    <row r="2819" spans="1:2">
      <c r="A2819" s="1197"/>
      <c r="B2819" s="317"/>
    </row>
    <row r="2820" spans="1:2">
      <c r="A2820" s="1197"/>
      <c r="B2820" s="317"/>
    </row>
    <row r="2821" spans="1:2">
      <c r="A2821" s="1197"/>
      <c r="B2821" s="317"/>
    </row>
    <row r="2822" spans="1:2">
      <c r="A2822" s="1197"/>
      <c r="B2822" s="317"/>
    </row>
    <row r="2823" spans="1:2">
      <c r="A2823" s="1197"/>
      <c r="B2823" s="317"/>
    </row>
    <row r="2824" spans="1:2">
      <c r="A2824" s="1197"/>
      <c r="B2824" s="317"/>
    </row>
    <row r="2825" spans="1:2">
      <c r="A2825" s="1197"/>
      <c r="B2825" s="317"/>
    </row>
    <row r="2826" spans="1:2">
      <c r="A2826" s="1197"/>
      <c r="B2826" s="317"/>
    </row>
    <row r="2827" spans="1:2">
      <c r="A2827" s="1197"/>
      <c r="B2827" s="317"/>
    </row>
    <row r="2828" spans="1:2">
      <c r="A2828" s="1197"/>
      <c r="B2828" s="317"/>
    </row>
    <row r="2829" spans="1:2">
      <c r="A2829" s="1197"/>
      <c r="B2829" s="317"/>
    </row>
    <row r="2830" spans="1:2">
      <c r="A2830" s="1197"/>
      <c r="B2830" s="317"/>
    </row>
    <row r="2831" spans="1:2">
      <c r="A2831" s="1197"/>
      <c r="B2831" s="317"/>
    </row>
    <row r="2832" spans="1:2">
      <c r="A2832" s="1197"/>
      <c r="B2832" s="317"/>
    </row>
    <row r="2833" spans="1:2">
      <c r="A2833" s="1197"/>
      <c r="B2833" s="317"/>
    </row>
    <row r="2834" spans="1:2">
      <c r="A2834" s="1197"/>
      <c r="B2834" s="317"/>
    </row>
    <row r="2835" spans="1:2">
      <c r="A2835" s="1197"/>
      <c r="B2835" s="317"/>
    </row>
    <row r="2836" spans="1:2">
      <c r="A2836" s="1197"/>
      <c r="B2836" s="317"/>
    </row>
    <row r="2837" spans="1:2">
      <c r="A2837" s="1197"/>
      <c r="B2837" s="317"/>
    </row>
    <row r="2838" spans="1:2">
      <c r="A2838" s="1197"/>
      <c r="B2838" s="317"/>
    </row>
    <row r="2839" spans="1:2">
      <c r="A2839" s="1197"/>
      <c r="B2839" s="317"/>
    </row>
    <row r="2840" spans="1:2">
      <c r="A2840" s="1197"/>
      <c r="B2840" s="317"/>
    </row>
    <row r="2841" spans="1:2">
      <c r="A2841" s="1197"/>
      <c r="B2841" s="317"/>
    </row>
    <row r="2842" spans="1:2">
      <c r="A2842" s="1197"/>
      <c r="B2842" s="317"/>
    </row>
    <row r="2843" spans="1:2">
      <c r="A2843" s="1197"/>
      <c r="B2843" s="317"/>
    </row>
    <row r="2844" spans="1:2">
      <c r="A2844" s="1197"/>
      <c r="B2844" s="317"/>
    </row>
    <row r="2845" spans="1:2">
      <c r="A2845" s="1197"/>
      <c r="B2845" s="317"/>
    </row>
    <row r="2846" spans="1:2">
      <c r="A2846" s="1197"/>
      <c r="B2846" s="317"/>
    </row>
    <row r="2847" spans="1:2">
      <c r="A2847" s="1197"/>
      <c r="B2847" s="317"/>
    </row>
    <row r="2848" spans="1:2">
      <c r="A2848" s="1197"/>
      <c r="B2848" s="317"/>
    </row>
    <row r="2849" spans="1:2">
      <c r="A2849" s="1197"/>
      <c r="B2849" s="317"/>
    </row>
    <row r="2850" spans="1:2">
      <c r="A2850" s="1197"/>
      <c r="B2850" s="317"/>
    </row>
    <row r="2851" spans="1:2">
      <c r="A2851" s="1197"/>
      <c r="B2851" s="317"/>
    </row>
    <row r="2852" spans="1:2">
      <c r="A2852" s="1197"/>
      <c r="B2852" s="317"/>
    </row>
    <row r="2853" spans="1:2">
      <c r="A2853" s="1197"/>
      <c r="B2853" s="317"/>
    </row>
    <row r="2854" spans="1:2">
      <c r="A2854" s="1197"/>
      <c r="B2854" s="317"/>
    </row>
    <row r="2855" spans="1:2">
      <c r="A2855" s="1197"/>
      <c r="B2855" s="317"/>
    </row>
    <row r="2856" spans="1:2">
      <c r="A2856" s="1197"/>
      <c r="B2856" s="317"/>
    </row>
    <row r="2857" spans="1:2">
      <c r="A2857" s="1197"/>
      <c r="B2857" s="317"/>
    </row>
    <row r="2858" spans="1:2">
      <c r="A2858" s="1197"/>
      <c r="B2858" s="317"/>
    </row>
    <row r="2859" spans="1:2">
      <c r="A2859" s="1197"/>
      <c r="B2859" s="317"/>
    </row>
    <row r="2860" spans="1:2">
      <c r="A2860" s="1197"/>
      <c r="B2860" s="317"/>
    </row>
    <row r="2861" spans="1:2">
      <c r="A2861" s="1197"/>
      <c r="B2861" s="317"/>
    </row>
    <row r="2862" spans="1:2">
      <c r="A2862" s="1197"/>
      <c r="B2862" s="317"/>
    </row>
    <row r="2863" spans="1:2">
      <c r="A2863" s="1197"/>
      <c r="B2863" s="317"/>
    </row>
    <row r="2864" spans="1:2">
      <c r="A2864" s="1197"/>
      <c r="B2864" s="317"/>
    </row>
    <row r="2865" spans="1:2">
      <c r="A2865" s="1197"/>
      <c r="B2865" s="317"/>
    </row>
    <row r="2866" spans="1:2">
      <c r="A2866" s="1197"/>
      <c r="B2866" s="317"/>
    </row>
    <row r="2867" spans="1:2">
      <c r="A2867" s="1197"/>
      <c r="B2867" s="317"/>
    </row>
    <row r="2868" spans="1:2">
      <c r="A2868" s="1197"/>
      <c r="B2868" s="317"/>
    </row>
    <row r="2869" spans="1:2">
      <c r="A2869" s="1197"/>
      <c r="B2869" s="317"/>
    </row>
    <row r="2870" spans="1:2">
      <c r="A2870" s="1197"/>
      <c r="B2870" s="317"/>
    </row>
    <row r="2871" spans="1:2">
      <c r="A2871" s="1197"/>
      <c r="B2871" s="317"/>
    </row>
    <row r="2872" spans="1:2">
      <c r="A2872" s="1197"/>
      <c r="B2872" s="317"/>
    </row>
    <row r="2873" spans="1:2">
      <c r="A2873" s="1197"/>
      <c r="B2873" s="317"/>
    </row>
    <row r="2874" spans="1:2">
      <c r="A2874" s="1197"/>
      <c r="B2874" s="317"/>
    </row>
    <row r="2875" spans="1:2">
      <c r="A2875" s="1197"/>
      <c r="B2875" s="317"/>
    </row>
    <row r="2876" spans="1:2">
      <c r="A2876" s="1197"/>
      <c r="B2876" s="317"/>
    </row>
    <row r="2877" spans="1:2">
      <c r="A2877" s="1197"/>
      <c r="B2877" s="317"/>
    </row>
    <row r="2878" spans="1:2">
      <c r="A2878" s="1197"/>
      <c r="B2878" s="317"/>
    </row>
    <row r="2879" spans="1:2">
      <c r="A2879" s="1197"/>
      <c r="B2879" s="317"/>
    </row>
    <row r="2880" spans="1:2">
      <c r="A2880" s="1197"/>
      <c r="B2880" s="317"/>
    </row>
    <row r="2881" spans="1:2">
      <c r="A2881" s="1197"/>
      <c r="B2881" s="317"/>
    </row>
    <row r="2882" spans="1:2">
      <c r="A2882" s="1197"/>
      <c r="B2882" s="317"/>
    </row>
    <row r="2883" spans="1:2">
      <c r="A2883" s="1197"/>
      <c r="B2883" s="317"/>
    </row>
    <row r="2884" spans="1:2">
      <c r="A2884" s="1197"/>
      <c r="B2884" s="317"/>
    </row>
    <row r="2885" spans="1:2">
      <c r="A2885" s="1197"/>
      <c r="B2885" s="317"/>
    </row>
    <row r="2886" spans="1:2">
      <c r="A2886" s="1197"/>
      <c r="B2886" s="317"/>
    </row>
    <row r="2887" spans="1:2">
      <c r="A2887" s="1197"/>
      <c r="B2887" s="317"/>
    </row>
    <row r="2888" spans="1:2">
      <c r="A2888" s="1197"/>
      <c r="B2888" s="317"/>
    </row>
    <row r="2889" spans="1:2">
      <c r="A2889" s="1197"/>
      <c r="B2889" s="317"/>
    </row>
    <row r="2890" spans="1:2">
      <c r="A2890" s="1197"/>
      <c r="B2890" s="317"/>
    </row>
    <row r="2891" spans="1:2">
      <c r="A2891" s="1197"/>
      <c r="B2891" s="317"/>
    </row>
    <row r="2892" spans="1:2">
      <c r="A2892" s="1197"/>
      <c r="B2892" s="317"/>
    </row>
    <row r="2893" spans="1:2">
      <c r="A2893" s="1197"/>
      <c r="B2893" s="317"/>
    </row>
    <row r="2894" spans="1:2">
      <c r="A2894" s="1197"/>
      <c r="B2894" s="317"/>
    </row>
    <row r="2895" spans="1:2">
      <c r="A2895" s="1197"/>
      <c r="B2895" s="317"/>
    </row>
    <row r="2896" spans="1:2">
      <c r="A2896" s="1197"/>
      <c r="B2896" s="317"/>
    </row>
    <row r="2897" spans="1:2">
      <c r="A2897" s="1197"/>
      <c r="B2897" s="317"/>
    </row>
    <row r="2898" spans="1:2">
      <c r="A2898" s="1197"/>
      <c r="B2898" s="317"/>
    </row>
    <row r="2899" spans="1:2">
      <c r="A2899" s="1197"/>
      <c r="B2899" s="317"/>
    </row>
    <row r="2900" spans="1:2">
      <c r="A2900" s="1197"/>
      <c r="B2900" s="317"/>
    </row>
    <row r="2901" spans="1:2">
      <c r="A2901" s="1197"/>
      <c r="B2901" s="317"/>
    </row>
    <row r="2902" spans="1:2">
      <c r="A2902" s="1197"/>
      <c r="B2902" s="317"/>
    </row>
    <row r="2903" spans="1:2">
      <c r="A2903" s="1197"/>
      <c r="B2903" s="317"/>
    </row>
    <row r="2904" spans="1:2">
      <c r="A2904" s="1197"/>
      <c r="B2904" s="317"/>
    </row>
    <row r="2905" spans="1:2">
      <c r="A2905" s="1197"/>
      <c r="B2905" s="317"/>
    </row>
    <row r="2906" spans="1:2">
      <c r="A2906" s="1197"/>
      <c r="B2906" s="317"/>
    </row>
    <row r="2907" spans="1:2">
      <c r="A2907" s="1197"/>
      <c r="B2907" s="317"/>
    </row>
    <row r="2908" spans="1:2">
      <c r="A2908" s="1197"/>
      <c r="B2908" s="317"/>
    </row>
    <row r="2909" spans="1:2">
      <c r="A2909" s="1197"/>
      <c r="B2909" s="317"/>
    </row>
    <row r="2910" spans="1:2">
      <c r="A2910" s="1197"/>
      <c r="B2910" s="317"/>
    </row>
    <row r="2911" spans="1:2">
      <c r="A2911" s="1197"/>
      <c r="B2911" s="317"/>
    </row>
    <row r="2912" spans="1:2">
      <c r="A2912" s="1197"/>
      <c r="B2912" s="317"/>
    </row>
    <row r="2913" spans="1:2">
      <c r="A2913" s="1197"/>
      <c r="B2913" s="317"/>
    </row>
    <row r="2914" spans="1:2">
      <c r="A2914" s="1197"/>
      <c r="B2914" s="317"/>
    </row>
    <row r="2915" spans="1:2">
      <c r="A2915" s="1197"/>
      <c r="B2915" s="317"/>
    </row>
    <row r="2916" spans="1:2">
      <c r="A2916" s="1197"/>
      <c r="B2916" s="317"/>
    </row>
    <row r="2917" spans="1:2">
      <c r="A2917" s="1197"/>
      <c r="B2917" s="317"/>
    </row>
    <row r="2918" spans="1:2">
      <c r="A2918" s="1197"/>
      <c r="B2918" s="317"/>
    </row>
    <row r="2919" spans="1:2">
      <c r="A2919" s="1197"/>
      <c r="B2919" s="317"/>
    </row>
    <row r="2920" spans="1:2">
      <c r="A2920" s="1197"/>
      <c r="B2920" s="317"/>
    </row>
    <row r="2921" spans="1:2">
      <c r="A2921" s="1197"/>
      <c r="B2921" s="317"/>
    </row>
    <row r="2922" spans="1:2">
      <c r="A2922" s="1197"/>
      <c r="B2922" s="317"/>
    </row>
    <row r="2923" spans="1:2">
      <c r="A2923" s="1197"/>
      <c r="B2923" s="317"/>
    </row>
    <row r="2924" spans="1:2">
      <c r="A2924" s="1197"/>
      <c r="B2924" s="317"/>
    </row>
    <row r="2925" spans="1:2">
      <c r="A2925" s="1197"/>
      <c r="B2925" s="317"/>
    </row>
    <row r="2926" spans="1:2">
      <c r="A2926" s="1197"/>
      <c r="B2926" s="317"/>
    </row>
    <row r="2927" spans="1:2">
      <c r="A2927" s="1197"/>
      <c r="B2927" s="317"/>
    </row>
    <row r="2928" spans="1:2">
      <c r="A2928" s="1197"/>
      <c r="B2928" s="317"/>
    </row>
    <row r="2929" spans="1:2">
      <c r="A2929" s="1197"/>
      <c r="B2929" s="317"/>
    </row>
    <row r="2930" spans="1:2">
      <c r="A2930" s="1197"/>
      <c r="B2930" s="317"/>
    </row>
    <row r="2931" spans="1:2">
      <c r="A2931" s="1197"/>
      <c r="B2931" s="317"/>
    </row>
    <row r="2932" spans="1:2">
      <c r="A2932" s="1197"/>
      <c r="B2932" s="317"/>
    </row>
    <row r="2933" spans="1:2">
      <c r="A2933" s="1197"/>
      <c r="B2933" s="317"/>
    </row>
    <row r="2934" spans="1:2">
      <c r="A2934" s="1197"/>
      <c r="B2934" s="317"/>
    </row>
    <row r="2935" spans="1:2">
      <c r="A2935" s="1197"/>
      <c r="B2935" s="317"/>
    </row>
    <row r="2936" spans="1:2">
      <c r="A2936" s="1197"/>
      <c r="B2936" s="317"/>
    </row>
    <row r="2937" spans="1:2">
      <c r="A2937" s="1197"/>
      <c r="B2937" s="317"/>
    </row>
    <row r="2938" spans="1:2">
      <c r="A2938" s="1197"/>
      <c r="B2938" s="317"/>
    </row>
    <row r="2939" spans="1:2">
      <c r="A2939" s="1197"/>
      <c r="B2939" s="317"/>
    </row>
    <row r="2940" spans="1:2">
      <c r="A2940" s="1197"/>
      <c r="B2940" s="317"/>
    </row>
    <row r="2941" spans="1:2">
      <c r="A2941" s="1197"/>
      <c r="B2941" s="317"/>
    </row>
    <row r="2942" spans="1:2">
      <c r="A2942" s="1197"/>
      <c r="B2942" s="317"/>
    </row>
    <row r="2943" spans="1:2">
      <c r="A2943" s="1197"/>
      <c r="B2943" s="317"/>
    </row>
    <row r="2944" spans="1:2">
      <c r="A2944" s="1197"/>
      <c r="B2944" s="317"/>
    </row>
    <row r="2945" spans="1:2">
      <c r="A2945" s="1197"/>
      <c r="B2945" s="317"/>
    </row>
    <row r="2946" spans="1:2">
      <c r="A2946" s="1197"/>
      <c r="B2946" s="317"/>
    </row>
    <row r="2947" spans="1:2">
      <c r="A2947" s="1197"/>
      <c r="B2947" s="317"/>
    </row>
    <row r="2948" spans="1:2">
      <c r="A2948" s="1197"/>
      <c r="B2948" s="317"/>
    </row>
    <row r="2949" spans="1:2">
      <c r="A2949" s="1197"/>
      <c r="B2949" s="317"/>
    </row>
    <row r="2950" spans="1:2">
      <c r="A2950" s="1197"/>
      <c r="B2950" s="317"/>
    </row>
    <row r="2951" spans="1:2">
      <c r="A2951" s="1197"/>
      <c r="B2951" s="317"/>
    </row>
    <row r="2952" spans="1:2">
      <c r="A2952" s="1197"/>
      <c r="B2952" s="317"/>
    </row>
    <row r="2953" spans="1:2">
      <c r="A2953" s="1197"/>
      <c r="B2953" s="317"/>
    </row>
    <row r="2954" spans="1:2">
      <c r="A2954" s="1197"/>
      <c r="B2954" s="317"/>
    </row>
    <row r="2955" spans="1:2">
      <c r="A2955" s="1197"/>
      <c r="B2955" s="317"/>
    </row>
    <row r="2956" spans="1:2">
      <c r="A2956" s="1197"/>
      <c r="B2956" s="317"/>
    </row>
    <row r="2957" spans="1:2">
      <c r="A2957" s="1197"/>
      <c r="B2957" s="317"/>
    </row>
    <row r="2958" spans="1:2">
      <c r="A2958" s="1197"/>
      <c r="B2958" s="317"/>
    </row>
    <row r="2959" spans="1:2">
      <c r="A2959" s="1197"/>
      <c r="B2959" s="317"/>
    </row>
    <row r="2960" spans="1:2">
      <c r="A2960" s="1197"/>
      <c r="B2960" s="317"/>
    </row>
    <row r="2961" spans="1:2">
      <c r="A2961" s="1197"/>
      <c r="B2961" s="317"/>
    </row>
    <row r="2962" spans="1:2">
      <c r="A2962" s="1197"/>
      <c r="B2962" s="317"/>
    </row>
    <row r="2963" spans="1:2">
      <c r="A2963" s="1197"/>
      <c r="B2963" s="317"/>
    </row>
    <row r="2964" spans="1:2">
      <c r="A2964" s="1197"/>
      <c r="B2964" s="317"/>
    </row>
    <row r="2965" spans="1:2">
      <c r="A2965" s="1197"/>
      <c r="B2965" s="317"/>
    </row>
    <row r="2966" spans="1:2">
      <c r="A2966" s="1197"/>
      <c r="B2966" s="317"/>
    </row>
    <row r="2967" spans="1:2">
      <c r="A2967" s="1197"/>
      <c r="B2967" s="317"/>
    </row>
    <row r="2968" spans="1:2">
      <c r="A2968" s="1197"/>
      <c r="B2968" s="317"/>
    </row>
    <row r="2969" spans="1:2">
      <c r="A2969" s="1197"/>
      <c r="B2969" s="317"/>
    </row>
    <row r="2970" spans="1:2">
      <c r="A2970" s="1197"/>
      <c r="B2970" s="317"/>
    </row>
    <row r="2971" spans="1:2">
      <c r="A2971" s="1197"/>
      <c r="B2971" s="317"/>
    </row>
    <row r="2972" spans="1:2">
      <c r="A2972" s="1197"/>
      <c r="B2972" s="317"/>
    </row>
    <row r="2973" spans="1:2">
      <c r="A2973" s="1197"/>
      <c r="B2973" s="317"/>
    </row>
    <row r="2974" spans="1:2">
      <c r="A2974" s="1197"/>
      <c r="B2974" s="317"/>
    </row>
    <row r="2975" spans="1:2">
      <c r="A2975" s="1197"/>
      <c r="B2975" s="317"/>
    </row>
    <row r="2976" spans="1:2">
      <c r="A2976" s="1197"/>
      <c r="B2976" s="317"/>
    </row>
    <row r="2977" spans="1:2">
      <c r="A2977" s="1197"/>
      <c r="B2977" s="317"/>
    </row>
    <row r="2978" spans="1:2">
      <c r="A2978" s="1197"/>
      <c r="B2978" s="317"/>
    </row>
    <row r="2979" spans="1:2">
      <c r="A2979" s="1197"/>
      <c r="B2979" s="317"/>
    </row>
    <row r="2980" spans="1:2">
      <c r="A2980" s="1197"/>
      <c r="B2980" s="317"/>
    </row>
    <row r="2981" spans="1:2">
      <c r="A2981" s="1197"/>
      <c r="B2981" s="317"/>
    </row>
    <row r="2982" spans="1:2">
      <c r="A2982" s="1197"/>
      <c r="B2982" s="317"/>
    </row>
    <row r="2983" spans="1:2">
      <c r="A2983" s="1197"/>
      <c r="B2983" s="317"/>
    </row>
    <row r="2984" spans="1:2">
      <c r="A2984" s="1197"/>
      <c r="B2984" s="317"/>
    </row>
    <row r="2985" spans="1:2">
      <c r="A2985" s="1197"/>
      <c r="B2985" s="317"/>
    </row>
    <row r="2986" spans="1:2">
      <c r="A2986" s="1197"/>
      <c r="B2986" s="317"/>
    </row>
    <row r="2987" spans="1:2">
      <c r="A2987" s="1197"/>
      <c r="B2987" s="317"/>
    </row>
    <row r="2988" spans="1:2">
      <c r="A2988" s="1197"/>
      <c r="B2988" s="317"/>
    </row>
    <row r="2989" spans="1:2">
      <c r="A2989" s="1197"/>
      <c r="B2989" s="317"/>
    </row>
    <row r="2990" spans="1:2">
      <c r="A2990" s="1197"/>
      <c r="B2990" s="317"/>
    </row>
    <row r="2991" spans="1:2">
      <c r="A2991" s="1197"/>
      <c r="B2991" s="317"/>
    </row>
    <row r="2992" spans="1:2">
      <c r="A2992" s="1197"/>
      <c r="B2992" s="317"/>
    </row>
    <row r="2993" spans="1:2">
      <c r="A2993" s="1197"/>
      <c r="B2993" s="317"/>
    </row>
    <row r="2994" spans="1:2">
      <c r="A2994" s="1197"/>
      <c r="B2994" s="317"/>
    </row>
    <row r="2995" spans="1:2">
      <c r="A2995" s="1197"/>
      <c r="B2995" s="317"/>
    </row>
    <row r="2996" spans="1:2">
      <c r="A2996" s="1197"/>
      <c r="B2996" s="317"/>
    </row>
    <row r="2997" spans="1:2">
      <c r="A2997" s="1197"/>
      <c r="B2997" s="317"/>
    </row>
    <row r="2998" spans="1:2">
      <c r="A2998" s="1197"/>
      <c r="B2998" s="317"/>
    </row>
    <row r="2999" spans="1:2">
      <c r="A2999" s="1197"/>
      <c r="B2999" s="317"/>
    </row>
    <row r="3000" spans="1:2">
      <c r="A3000" s="1197"/>
      <c r="B3000" s="317"/>
    </row>
    <row r="3001" spans="1:2">
      <c r="A3001" s="1197"/>
      <c r="B3001" s="317"/>
    </row>
    <row r="3002" spans="1:2">
      <c r="A3002" s="1197"/>
      <c r="B3002" s="317"/>
    </row>
    <row r="3003" spans="1:2">
      <c r="A3003" s="1197"/>
      <c r="B3003" s="317"/>
    </row>
    <row r="3004" spans="1:2">
      <c r="A3004" s="1197"/>
      <c r="B3004" s="317"/>
    </row>
    <row r="3005" spans="1:2">
      <c r="A3005" s="1197"/>
      <c r="B3005" s="317"/>
    </row>
    <row r="3006" spans="1:2">
      <c r="A3006" s="1197"/>
      <c r="B3006" s="317"/>
    </row>
    <row r="3007" spans="1:2">
      <c r="A3007" s="1197"/>
      <c r="B3007" s="317"/>
    </row>
    <row r="3008" spans="1:2">
      <c r="A3008" s="1197"/>
      <c r="B3008" s="317"/>
    </row>
    <row r="3009" spans="1:2">
      <c r="A3009" s="1197"/>
      <c r="B3009" s="317"/>
    </row>
    <row r="3010" spans="1:2">
      <c r="A3010" s="1197"/>
      <c r="B3010" s="317"/>
    </row>
    <row r="3011" spans="1:2">
      <c r="A3011" s="1197"/>
      <c r="B3011" s="317"/>
    </row>
    <row r="3012" spans="1:2">
      <c r="A3012" s="1197"/>
      <c r="B3012" s="317"/>
    </row>
    <row r="3013" spans="1:2">
      <c r="A3013" s="1197"/>
      <c r="B3013" s="317"/>
    </row>
    <row r="3014" spans="1:2">
      <c r="A3014" s="1197"/>
      <c r="B3014" s="317"/>
    </row>
    <row r="3015" spans="1:2">
      <c r="A3015" s="1197"/>
      <c r="B3015" s="317"/>
    </row>
    <row r="3016" spans="1:2">
      <c r="A3016" s="1197"/>
      <c r="B3016" s="317"/>
    </row>
    <row r="3017" spans="1:2">
      <c r="A3017" s="1197"/>
      <c r="B3017" s="317"/>
    </row>
    <row r="3018" spans="1:2">
      <c r="A3018" s="1197"/>
      <c r="B3018" s="317"/>
    </row>
    <row r="3019" spans="1:2">
      <c r="A3019" s="1197"/>
      <c r="B3019" s="317"/>
    </row>
    <row r="3020" spans="1:2">
      <c r="A3020" s="1197"/>
      <c r="B3020" s="317"/>
    </row>
    <row r="3021" spans="1:2">
      <c r="A3021" s="1197"/>
      <c r="B3021" s="317"/>
    </row>
    <row r="3022" spans="1:2">
      <c r="A3022" s="1197"/>
      <c r="B3022" s="317"/>
    </row>
    <row r="3023" spans="1:2">
      <c r="A3023" s="1197"/>
      <c r="B3023" s="317"/>
    </row>
    <row r="3024" spans="1:2">
      <c r="A3024" s="1197"/>
      <c r="B3024" s="317"/>
    </row>
    <row r="3025" spans="1:2">
      <c r="A3025" s="1197"/>
      <c r="B3025" s="317"/>
    </row>
    <row r="3026" spans="1:2">
      <c r="A3026" s="1197"/>
      <c r="B3026" s="317"/>
    </row>
    <row r="3027" spans="1:2">
      <c r="A3027" s="1197"/>
      <c r="B3027" s="317"/>
    </row>
    <row r="3028" spans="1:2">
      <c r="A3028" s="1197"/>
      <c r="B3028" s="317"/>
    </row>
    <row r="3029" spans="1:2">
      <c r="A3029" s="1197"/>
      <c r="B3029" s="317"/>
    </row>
    <row r="3030" spans="1:2">
      <c r="A3030" s="1197"/>
      <c r="B3030" s="317"/>
    </row>
    <row r="3031" spans="1:2">
      <c r="A3031" s="1197"/>
      <c r="B3031" s="317"/>
    </row>
    <row r="3032" spans="1:2">
      <c r="A3032" s="1197"/>
      <c r="B3032" s="317"/>
    </row>
    <row r="3033" spans="1:2">
      <c r="A3033" s="1197"/>
      <c r="B3033" s="317"/>
    </row>
    <row r="3034" spans="1:2">
      <c r="A3034" s="1197"/>
      <c r="B3034" s="317"/>
    </row>
    <row r="3035" spans="1:2">
      <c r="A3035" s="1197"/>
      <c r="B3035" s="317"/>
    </row>
    <row r="3036" spans="1:2">
      <c r="A3036" s="1197"/>
      <c r="B3036" s="317"/>
    </row>
    <row r="3037" spans="1:2">
      <c r="A3037" s="1197"/>
      <c r="B3037" s="317"/>
    </row>
    <row r="3038" spans="1:2">
      <c r="A3038" s="1197"/>
      <c r="B3038" s="317"/>
    </row>
    <row r="3039" spans="1:2">
      <c r="A3039" s="1197"/>
      <c r="B3039" s="317"/>
    </row>
    <row r="3040" spans="1:2">
      <c r="A3040" s="1197"/>
      <c r="B3040" s="317"/>
    </row>
    <row r="3041" spans="1:2">
      <c r="A3041" s="1197"/>
      <c r="B3041" s="317"/>
    </row>
    <row r="3042" spans="1:2">
      <c r="A3042" s="1197"/>
      <c r="B3042" s="317"/>
    </row>
    <row r="3043" spans="1:2">
      <c r="A3043" s="1197"/>
      <c r="B3043" s="317"/>
    </row>
    <row r="3044" spans="1:2">
      <c r="A3044" s="1197"/>
      <c r="B3044" s="317"/>
    </row>
    <row r="3045" spans="1:2">
      <c r="A3045" s="1197"/>
      <c r="B3045" s="317"/>
    </row>
    <row r="3046" spans="1:2">
      <c r="A3046" s="1197"/>
      <c r="B3046" s="317"/>
    </row>
    <row r="3047" spans="1:2">
      <c r="A3047" s="1197"/>
      <c r="B3047" s="317"/>
    </row>
    <row r="3048" spans="1:2">
      <c r="A3048" s="1197"/>
      <c r="B3048" s="317"/>
    </row>
    <row r="3049" spans="1:2">
      <c r="A3049" s="1197"/>
      <c r="B3049" s="317"/>
    </row>
    <row r="3050" spans="1:2">
      <c r="A3050" s="1197"/>
      <c r="B3050" s="317"/>
    </row>
    <row r="3051" spans="1:2">
      <c r="A3051" s="1197"/>
      <c r="B3051" s="317"/>
    </row>
    <row r="3052" spans="1:2">
      <c r="A3052" s="1197"/>
      <c r="B3052" s="317"/>
    </row>
    <row r="3053" spans="1:2">
      <c r="A3053" s="1197"/>
      <c r="B3053" s="317"/>
    </row>
    <row r="3054" spans="1:2">
      <c r="A3054" s="1197"/>
      <c r="B3054" s="317"/>
    </row>
    <row r="3055" spans="1:2">
      <c r="A3055" s="1197"/>
      <c r="B3055" s="317"/>
    </row>
    <row r="3056" spans="1:2">
      <c r="A3056" s="1197"/>
      <c r="B3056" s="317"/>
    </row>
    <row r="3057" spans="1:2">
      <c r="A3057" s="1197"/>
      <c r="B3057" s="317"/>
    </row>
    <row r="3058" spans="1:2">
      <c r="A3058" s="1197"/>
      <c r="B3058" s="317"/>
    </row>
    <row r="3059" spans="1:2">
      <c r="A3059" s="1197"/>
      <c r="B3059" s="317"/>
    </row>
    <row r="3060" spans="1:2">
      <c r="A3060" s="1197"/>
      <c r="B3060" s="317"/>
    </row>
    <row r="3061" spans="1:2">
      <c r="A3061" s="1197"/>
      <c r="B3061" s="317"/>
    </row>
    <row r="3062" spans="1:2">
      <c r="A3062" s="1197"/>
      <c r="B3062" s="317"/>
    </row>
    <row r="3063" spans="1:2">
      <c r="A3063" s="1197"/>
      <c r="B3063" s="317"/>
    </row>
    <row r="3064" spans="1:2">
      <c r="A3064" s="1197"/>
      <c r="B3064" s="317"/>
    </row>
    <row r="3065" spans="1:2">
      <c r="A3065" s="1197"/>
      <c r="B3065" s="317"/>
    </row>
    <row r="3066" spans="1:2">
      <c r="A3066" s="1197"/>
      <c r="B3066" s="317"/>
    </row>
    <row r="3067" spans="1:2">
      <c r="A3067" s="1197"/>
      <c r="B3067" s="317"/>
    </row>
    <row r="3068" spans="1:2">
      <c r="A3068" s="1197"/>
      <c r="B3068" s="317"/>
    </row>
    <row r="3069" spans="1:2">
      <c r="A3069" s="1197"/>
      <c r="B3069" s="317"/>
    </row>
    <row r="3070" spans="1:2">
      <c r="A3070" s="1197"/>
      <c r="B3070" s="317"/>
    </row>
    <row r="3071" spans="1:2">
      <c r="A3071" s="1197"/>
      <c r="B3071" s="317"/>
    </row>
    <row r="3072" spans="1:2">
      <c r="A3072" s="1197"/>
      <c r="B3072" s="317"/>
    </row>
    <row r="3073" spans="1:2">
      <c r="A3073" s="1197"/>
      <c r="B3073" s="317"/>
    </row>
    <row r="3074" spans="1:2">
      <c r="A3074" s="1197"/>
      <c r="B3074" s="317"/>
    </row>
    <row r="3075" spans="1:2">
      <c r="A3075" s="1197"/>
      <c r="B3075" s="317"/>
    </row>
    <row r="3076" spans="1:2">
      <c r="A3076" s="1197"/>
      <c r="B3076" s="317"/>
    </row>
    <row r="3077" spans="1:2">
      <c r="A3077" s="1197"/>
      <c r="B3077" s="317"/>
    </row>
    <row r="3078" spans="1:2">
      <c r="A3078" s="1197"/>
      <c r="B3078" s="317"/>
    </row>
    <row r="3079" spans="1:2">
      <c r="A3079" s="1197"/>
      <c r="B3079" s="317"/>
    </row>
    <row r="3080" spans="1:2">
      <c r="A3080" s="1197"/>
      <c r="B3080" s="317"/>
    </row>
    <row r="3081" spans="1:2">
      <c r="A3081" s="1197"/>
      <c r="B3081" s="317"/>
    </row>
    <row r="3082" spans="1:2">
      <c r="A3082" s="1197"/>
      <c r="B3082" s="317"/>
    </row>
    <row r="3083" spans="1:2">
      <c r="A3083" s="1197"/>
      <c r="B3083" s="317"/>
    </row>
    <row r="3084" spans="1:2">
      <c r="A3084" s="1197"/>
      <c r="B3084" s="317"/>
    </row>
    <row r="3085" spans="1:2">
      <c r="A3085" s="1197"/>
      <c r="B3085" s="317"/>
    </row>
    <row r="3086" spans="1:2">
      <c r="A3086" s="1197"/>
      <c r="B3086" s="317"/>
    </row>
    <row r="3087" spans="1:2">
      <c r="A3087" s="1197"/>
      <c r="B3087" s="317"/>
    </row>
    <row r="3088" spans="1:2">
      <c r="A3088" s="1197"/>
      <c r="B3088" s="317"/>
    </row>
    <row r="3089" spans="1:2">
      <c r="A3089" s="1197"/>
      <c r="B3089" s="317"/>
    </row>
    <row r="3090" spans="1:2">
      <c r="A3090" s="1197"/>
      <c r="B3090" s="317"/>
    </row>
    <row r="3091" spans="1:2">
      <c r="A3091" s="1197"/>
      <c r="B3091" s="317"/>
    </row>
    <row r="3092" spans="1:2">
      <c r="A3092" s="1197"/>
      <c r="B3092" s="317"/>
    </row>
    <row r="3093" spans="1:2">
      <c r="A3093" s="1197"/>
      <c r="B3093" s="317"/>
    </row>
    <row r="3094" spans="1:2">
      <c r="A3094" s="1197"/>
      <c r="B3094" s="317"/>
    </row>
    <row r="3095" spans="1:2">
      <c r="A3095" s="1197"/>
      <c r="B3095" s="317"/>
    </row>
    <row r="3096" spans="1:2">
      <c r="A3096" s="1197"/>
      <c r="B3096" s="317"/>
    </row>
    <row r="3097" spans="1:2">
      <c r="A3097" s="1197"/>
      <c r="B3097" s="317"/>
    </row>
    <row r="3098" spans="1:2">
      <c r="A3098" s="1197"/>
      <c r="B3098" s="317"/>
    </row>
    <row r="3099" spans="1:2">
      <c r="A3099" s="1197"/>
      <c r="B3099" s="317"/>
    </row>
    <row r="3100" spans="1:2">
      <c r="A3100" s="1197"/>
      <c r="B3100" s="317"/>
    </row>
    <row r="3101" spans="1:2">
      <c r="A3101" s="1197"/>
      <c r="B3101" s="317"/>
    </row>
    <row r="3102" spans="1:2">
      <c r="A3102" s="1197"/>
      <c r="B3102" s="317"/>
    </row>
    <row r="3103" spans="1:2">
      <c r="A3103" s="1197"/>
      <c r="B3103" s="317"/>
    </row>
    <row r="3104" spans="1:2">
      <c r="A3104" s="1197"/>
      <c r="B3104" s="317"/>
    </row>
    <row r="3105" spans="1:2">
      <c r="A3105" s="1197"/>
      <c r="B3105" s="317"/>
    </row>
    <row r="3106" spans="1:2">
      <c r="A3106" s="1197"/>
      <c r="B3106" s="317"/>
    </row>
    <row r="3107" spans="1:2">
      <c r="A3107" s="1197"/>
      <c r="B3107" s="317"/>
    </row>
    <row r="3108" spans="1:2">
      <c r="A3108" s="1197"/>
      <c r="B3108" s="317"/>
    </row>
    <row r="3109" spans="1:2">
      <c r="A3109" s="1197"/>
      <c r="B3109" s="317"/>
    </row>
    <row r="3110" spans="1:2">
      <c r="A3110" s="1197"/>
      <c r="B3110" s="317"/>
    </row>
    <row r="3111" spans="1:2">
      <c r="A3111" s="1197"/>
      <c r="B3111" s="317"/>
    </row>
    <row r="3112" spans="1:2">
      <c r="A3112" s="1197"/>
      <c r="B3112" s="317"/>
    </row>
    <row r="3113" spans="1:2">
      <c r="A3113" s="1197"/>
      <c r="B3113" s="317"/>
    </row>
    <row r="3114" spans="1:2">
      <c r="A3114" s="1197"/>
      <c r="B3114" s="317"/>
    </row>
    <row r="3115" spans="1:2">
      <c r="A3115" s="1197"/>
      <c r="B3115" s="317"/>
    </row>
    <row r="3116" spans="1:2">
      <c r="A3116" s="1197"/>
      <c r="B3116" s="317"/>
    </row>
    <row r="3117" spans="1:2">
      <c r="A3117" s="1197"/>
      <c r="B3117" s="317"/>
    </row>
    <row r="3118" spans="1:2">
      <c r="A3118" s="1197"/>
      <c r="B3118" s="317"/>
    </row>
    <row r="3119" spans="1:2">
      <c r="A3119" s="1197"/>
      <c r="B3119" s="317"/>
    </row>
    <row r="3120" spans="1:2">
      <c r="A3120" s="1197"/>
      <c r="B3120" s="317"/>
    </row>
    <row r="3121" spans="1:2">
      <c r="A3121" s="1197"/>
      <c r="B3121" s="317"/>
    </row>
    <row r="3122" spans="1:2">
      <c r="A3122" s="1197"/>
      <c r="B3122" s="317"/>
    </row>
    <row r="3123" spans="1:2">
      <c r="A3123" s="1197"/>
      <c r="B3123" s="317"/>
    </row>
    <row r="3124" spans="1:2">
      <c r="A3124" s="1197"/>
      <c r="B3124" s="317"/>
    </row>
    <row r="3125" spans="1:2">
      <c r="A3125" s="1197"/>
      <c r="B3125" s="317"/>
    </row>
    <row r="3126" spans="1:2">
      <c r="A3126" s="1197"/>
      <c r="B3126" s="317"/>
    </row>
    <row r="3127" spans="1:2">
      <c r="A3127" s="1197"/>
      <c r="B3127" s="317"/>
    </row>
    <row r="3128" spans="1:2">
      <c r="A3128" s="1197"/>
      <c r="B3128" s="317"/>
    </row>
    <row r="3129" spans="1:2">
      <c r="A3129" s="1197"/>
      <c r="B3129" s="317"/>
    </row>
    <row r="3130" spans="1:2">
      <c r="A3130" s="1197"/>
      <c r="B3130" s="317"/>
    </row>
    <row r="3131" spans="1:2">
      <c r="A3131" s="1197"/>
      <c r="B3131" s="317"/>
    </row>
    <row r="3132" spans="1:2">
      <c r="A3132" s="1197"/>
      <c r="B3132" s="317"/>
    </row>
    <row r="3133" spans="1:2">
      <c r="A3133" s="1197"/>
      <c r="B3133" s="317"/>
    </row>
    <row r="3134" spans="1:2">
      <c r="A3134" s="1197"/>
      <c r="B3134" s="317"/>
    </row>
    <row r="3135" spans="1:2">
      <c r="A3135" s="1197"/>
      <c r="B3135" s="317"/>
    </row>
    <row r="3136" spans="1:2">
      <c r="A3136" s="1197"/>
      <c r="B3136" s="317"/>
    </row>
    <row r="3137" spans="1:2">
      <c r="A3137" s="1197"/>
      <c r="B3137" s="317"/>
    </row>
    <row r="3138" spans="1:2">
      <c r="A3138" s="1197"/>
      <c r="B3138" s="317"/>
    </row>
    <row r="3139" spans="1:2">
      <c r="A3139" s="1197"/>
      <c r="B3139" s="317"/>
    </row>
    <row r="3140" spans="1:2">
      <c r="A3140" s="1197"/>
      <c r="B3140" s="317"/>
    </row>
    <row r="3141" spans="1:2">
      <c r="A3141" s="1197"/>
      <c r="B3141" s="317"/>
    </row>
    <row r="3142" spans="1:2">
      <c r="A3142" s="1197"/>
      <c r="B3142" s="317"/>
    </row>
    <row r="3143" spans="1:2">
      <c r="A3143" s="1197"/>
      <c r="B3143" s="317"/>
    </row>
    <row r="3144" spans="1:2">
      <c r="A3144" s="1197"/>
      <c r="B3144" s="317"/>
    </row>
    <row r="3145" spans="1:2">
      <c r="A3145" s="1197"/>
      <c r="B3145" s="317"/>
    </row>
    <row r="3146" spans="1:2">
      <c r="A3146" s="1197"/>
      <c r="B3146" s="317"/>
    </row>
    <row r="3147" spans="1:2">
      <c r="A3147" s="1197"/>
      <c r="B3147" s="317"/>
    </row>
    <row r="3148" spans="1:2">
      <c r="A3148" s="1197"/>
      <c r="B3148" s="317"/>
    </row>
    <row r="3149" spans="1:2">
      <c r="A3149" s="1197"/>
      <c r="B3149" s="317"/>
    </row>
    <row r="3150" spans="1:2">
      <c r="A3150" s="1197"/>
      <c r="B3150" s="317"/>
    </row>
    <row r="3151" spans="1:2">
      <c r="A3151" s="1197"/>
      <c r="B3151" s="317"/>
    </row>
    <row r="3152" spans="1:2">
      <c r="A3152" s="1197"/>
      <c r="B3152" s="317"/>
    </row>
    <row r="3153" spans="1:2">
      <c r="A3153" s="1197"/>
      <c r="B3153" s="317"/>
    </row>
    <row r="3154" spans="1:2">
      <c r="A3154" s="1197"/>
      <c r="B3154" s="317"/>
    </row>
    <row r="3155" spans="1:2">
      <c r="A3155" s="1197"/>
      <c r="B3155" s="317"/>
    </row>
    <row r="3156" spans="1:2">
      <c r="A3156" s="1197"/>
      <c r="B3156" s="317"/>
    </row>
    <row r="3157" spans="1:2">
      <c r="A3157" s="1197"/>
      <c r="B3157" s="317"/>
    </row>
    <row r="3158" spans="1:2">
      <c r="A3158" s="1197"/>
      <c r="B3158" s="317"/>
    </row>
    <row r="3159" spans="1:2">
      <c r="A3159" s="1197"/>
      <c r="B3159" s="317"/>
    </row>
    <row r="3160" spans="1:2">
      <c r="A3160" s="1197"/>
      <c r="B3160" s="317"/>
    </row>
    <row r="3161" spans="1:2">
      <c r="A3161" s="1197"/>
      <c r="B3161" s="317"/>
    </row>
    <row r="3162" spans="1:2">
      <c r="A3162" s="1197"/>
      <c r="B3162" s="317"/>
    </row>
    <row r="3163" spans="1:2">
      <c r="A3163" s="1197"/>
      <c r="B3163" s="317"/>
    </row>
    <row r="3164" spans="1:2">
      <c r="A3164" s="1197"/>
      <c r="B3164" s="317"/>
    </row>
    <row r="3165" spans="1:2">
      <c r="A3165" s="1197"/>
      <c r="B3165" s="317"/>
    </row>
    <row r="3166" spans="1:2">
      <c r="A3166" s="1197"/>
      <c r="B3166" s="317"/>
    </row>
    <row r="3167" spans="1:2">
      <c r="A3167" s="1197"/>
      <c r="B3167" s="317"/>
    </row>
    <row r="3168" spans="1:2">
      <c r="A3168" s="1197"/>
      <c r="B3168" s="317"/>
    </row>
    <row r="3169" spans="1:2">
      <c r="A3169" s="1197"/>
      <c r="B3169" s="317"/>
    </row>
    <row r="3170" spans="1:2">
      <c r="A3170" s="1197"/>
      <c r="B3170" s="317"/>
    </row>
    <row r="3171" spans="1:2">
      <c r="A3171" s="1197"/>
      <c r="B3171" s="317"/>
    </row>
    <row r="3172" spans="1:2">
      <c r="A3172" s="1197"/>
      <c r="B3172" s="317"/>
    </row>
    <row r="3173" spans="1:2">
      <c r="A3173" s="1197"/>
      <c r="B3173" s="317"/>
    </row>
    <row r="3174" spans="1:2">
      <c r="A3174" s="1197"/>
      <c r="B3174" s="317"/>
    </row>
    <row r="3175" spans="1:2">
      <c r="A3175" s="1197"/>
      <c r="B3175" s="317"/>
    </row>
    <row r="3176" spans="1:2">
      <c r="A3176" s="1197"/>
      <c r="B3176" s="317"/>
    </row>
    <row r="3177" spans="1:2">
      <c r="A3177" s="1197"/>
      <c r="B3177" s="317"/>
    </row>
    <row r="3178" spans="1:2">
      <c r="A3178" s="1197"/>
      <c r="B3178" s="317"/>
    </row>
    <row r="3179" spans="1:2">
      <c r="A3179" s="1197"/>
      <c r="B3179" s="317"/>
    </row>
    <row r="3180" spans="1:2">
      <c r="A3180" s="1197"/>
      <c r="B3180" s="317"/>
    </row>
    <row r="3181" spans="1:2">
      <c r="A3181" s="1197"/>
      <c r="B3181" s="317"/>
    </row>
    <row r="3182" spans="1:2">
      <c r="A3182" s="1197"/>
      <c r="B3182" s="317"/>
    </row>
    <row r="3183" spans="1:2">
      <c r="A3183" s="1197"/>
      <c r="B3183" s="317"/>
    </row>
    <row r="3184" spans="1:2">
      <c r="A3184" s="1197"/>
      <c r="B3184" s="317"/>
    </row>
    <row r="3185" spans="1:2">
      <c r="A3185" s="1197"/>
      <c r="B3185" s="317"/>
    </row>
    <row r="3186" spans="1:2">
      <c r="A3186" s="1197"/>
      <c r="B3186" s="317"/>
    </row>
    <row r="3187" spans="1:2">
      <c r="A3187" s="1197"/>
      <c r="B3187" s="317"/>
    </row>
    <row r="3188" spans="1:2">
      <c r="A3188" s="1197"/>
      <c r="B3188" s="317"/>
    </row>
    <row r="3189" spans="1:2">
      <c r="A3189" s="1197"/>
      <c r="B3189" s="317"/>
    </row>
    <row r="3190" spans="1:2">
      <c r="A3190" s="1197"/>
      <c r="B3190" s="317"/>
    </row>
    <row r="3191" spans="1:2">
      <c r="A3191" s="1197"/>
      <c r="B3191" s="317"/>
    </row>
    <row r="3192" spans="1:2">
      <c r="A3192" s="1197"/>
      <c r="B3192" s="317"/>
    </row>
    <row r="3193" spans="1:2">
      <c r="A3193" s="1197"/>
      <c r="B3193" s="317"/>
    </row>
    <row r="3194" spans="1:2">
      <c r="A3194" s="1197"/>
      <c r="B3194" s="317"/>
    </row>
    <row r="3195" spans="1:2">
      <c r="A3195" s="1197"/>
      <c r="B3195" s="317"/>
    </row>
    <row r="3196" spans="1:2">
      <c r="A3196" s="1197"/>
      <c r="B3196" s="317"/>
    </row>
    <row r="3197" spans="1:2">
      <c r="A3197" s="1197"/>
      <c r="B3197" s="317"/>
    </row>
    <row r="3198" spans="1:2">
      <c r="A3198" s="1197"/>
      <c r="B3198" s="317"/>
    </row>
    <row r="3199" spans="1:2">
      <c r="A3199" s="1197"/>
      <c r="B3199" s="317"/>
    </row>
    <row r="3200" spans="1:2">
      <c r="A3200" s="1197"/>
      <c r="B3200" s="317"/>
    </row>
    <row r="3201" spans="1:2">
      <c r="A3201" s="1197"/>
      <c r="B3201" s="317"/>
    </row>
    <row r="3202" spans="1:2">
      <c r="A3202" s="1197"/>
      <c r="B3202" s="317"/>
    </row>
    <row r="3203" spans="1:2">
      <c r="A3203" s="1197"/>
      <c r="B3203" s="317"/>
    </row>
    <row r="3204" spans="1:2">
      <c r="A3204" s="1197"/>
      <c r="B3204" s="317"/>
    </row>
    <row r="3205" spans="1:2">
      <c r="A3205" s="1197"/>
      <c r="B3205" s="317"/>
    </row>
    <row r="3206" spans="1:2">
      <c r="A3206" s="1197"/>
      <c r="B3206" s="317"/>
    </row>
    <row r="3207" spans="1:2">
      <c r="A3207" s="1197"/>
      <c r="B3207" s="317"/>
    </row>
    <row r="3208" spans="1:2">
      <c r="A3208" s="1197"/>
      <c r="B3208" s="317"/>
    </row>
    <row r="3209" spans="1:2">
      <c r="A3209" s="1197"/>
      <c r="B3209" s="317"/>
    </row>
    <row r="3210" spans="1:2">
      <c r="A3210" s="1197"/>
      <c r="B3210" s="317"/>
    </row>
    <row r="3211" spans="1:2">
      <c r="A3211" s="1197"/>
      <c r="B3211" s="317"/>
    </row>
    <row r="3212" spans="1:2">
      <c r="A3212" s="1197"/>
      <c r="B3212" s="317"/>
    </row>
    <row r="3213" spans="1:2">
      <c r="A3213" s="1197"/>
      <c r="B3213" s="317"/>
    </row>
    <row r="3214" spans="1:2">
      <c r="A3214" s="1197"/>
      <c r="B3214" s="317"/>
    </row>
    <row r="3215" spans="1:2">
      <c r="A3215" s="1197"/>
      <c r="B3215" s="317"/>
    </row>
    <row r="3216" spans="1:2">
      <c r="A3216" s="1197"/>
      <c r="B3216" s="317"/>
    </row>
    <row r="3217" spans="1:2">
      <c r="A3217" s="1197"/>
      <c r="B3217" s="317"/>
    </row>
    <row r="3218" spans="1:2">
      <c r="A3218" s="1197"/>
      <c r="B3218" s="317"/>
    </row>
    <row r="3219" spans="1:2">
      <c r="A3219" s="1197"/>
      <c r="B3219" s="317"/>
    </row>
    <row r="3220" spans="1:2">
      <c r="A3220" s="1197"/>
      <c r="B3220" s="317"/>
    </row>
    <row r="3221" spans="1:2">
      <c r="A3221" s="1197"/>
      <c r="B3221" s="317"/>
    </row>
    <row r="3222" spans="1:2">
      <c r="A3222" s="1197"/>
      <c r="B3222" s="317"/>
    </row>
    <row r="3223" spans="1:2">
      <c r="A3223" s="1197"/>
      <c r="B3223" s="317"/>
    </row>
    <row r="3224" spans="1:2">
      <c r="A3224" s="1197"/>
      <c r="B3224" s="317"/>
    </row>
    <row r="3225" spans="1:2">
      <c r="A3225" s="1197"/>
      <c r="B3225" s="317"/>
    </row>
    <row r="3226" spans="1:2">
      <c r="A3226" s="1197"/>
      <c r="B3226" s="317"/>
    </row>
    <row r="3227" spans="1:2">
      <c r="A3227" s="1197"/>
      <c r="B3227" s="317"/>
    </row>
    <row r="3228" spans="1:2">
      <c r="A3228" s="1197"/>
      <c r="B3228" s="317"/>
    </row>
    <row r="3229" spans="1:2">
      <c r="A3229" s="1197"/>
      <c r="B3229" s="317"/>
    </row>
    <row r="3230" spans="1:2">
      <c r="A3230" s="1197"/>
      <c r="B3230" s="317"/>
    </row>
    <row r="3231" spans="1:2">
      <c r="A3231" s="1197"/>
      <c r="B3231" s="317"/>
    </row>
    <row r="3232" spans="1:2">
      <c r="A3232" s="1197"/>
      <c r="B3232" s="317"/>
    </row>
    <row r="3233" spans="1:2">
      <c r="A3233" s="1197"/>
      <c r="B3233" s="317"/>
    </row>
    <row r="3234" spans="1:2">
      <c r="A3234" s="1197"/>
      <c r="B3234" s="317"/>
    </row>
    <row r="3235" spans="1:2">
      <c r="A3235" s="1197"/>
      <c r="B3235" s="317"/>
    </row>
    <row r="3236" spans="1:2">
      <c r="A3236" s="1197"/>
      <c r="B3236" s="317"/>
    </row>
    <row r="3237" spans="1:2">
      <c r="A3237" s="1197"/>
      <c r="B3237" s="317"/>
    </row>
    <row r="3238" spans="1:2">
      <c r="A3238" s="1197"/>
      <c r="B3238" s="317"/>
    </row>
    <row r="3239" spans="1:2">
      <c r="A3239" s="1197"/>
      <c r="B3239" s="317"/>
    </row>
    <row r="3240" spans="1:2">
      <c r="A3240" s="1197"/>
      <c r="B3240" s="317"/>
    </row>
    <row r="3241" spans="1:2">
      <c r="A3241" s="1197"/>
      <c r="B3241" s="317"/>
    </row>
    <row r="3242" spans="1:2">
      <c r="A3242" s="1197"/>
      <c r="B3242" s="317"/>
    </row>
    <row r="3243" spans="1:2">
      <c r="A3243" s="1197"/>
      <c r="B3243" s="317"/>
    </row>
    <row r="3244" spans="1:2">
      <c r="A3244" s="1197"/>
      <c r="B3244" s="317"/>
    </row>
    <row r="3245" spans="1:2">
      <c r="A3245" s="1197"/>
      <c r="B3245" s="317"/>
    </row>
    <row r="3246" spans="1:2">
      <c r="A3246" s="1197"/>
      <c r="B3246" s="317"/>
    </row>
    <row r="3247" spans="1:2">
      <c r="A3247" s="1197"/>
      <c r="B3247" s="317"/>
    </row>
    <row r="3248" spans="1:2">
      <c r="A3248" s="1197"/>
      <c r="B3248" s="317"/>
    </row>
    <row r="3249" spans="1:2">
      <c r="A3249" s="1197"/>
      <c r="B3249" s="317"/>
    </row>
    <row r="3250" spans="1:2">
      <c r="A3250" s="1197"/>
      <c r="B3250" s="317"/>
    </row>
    <row r="3251" spans="1:2">
      <c r="A3251" s="1197"/>
      <c r="B3251" s="317"/>
    </row>
    <row r="3252" spans="1:2">
      <c r="A3252" s="1197"/>
      <c r="B3252" s="317"/>
    </row>
    <row r="3253" spans="1:2">
      <c r="A3253" s="1197"/>
      <c r="B3253" s="317"/>
    </row>
    <row r="3254" spans="1:2">
      <c r="A3254" s="1197"/>
      <c r="B3254" s="317"/>
    </row>
    <row r="3255" spans="1:2">
      <c r="A3255" s="1197"/>
      <c r="B3255" s="317"/>
    </row>
    <row r="3256" spans="1:2">
      <c r="A3256" s="1197"/>
      <c r="B3256" s="317"/>
    </row>
    <row r="3257" spans="1:2">
      <c r="A3257" s="1197"/>
      <c r="B3257" s="317"/>
    </row>
    <row r="3258" spans="1:2">
      <c r="A3258" s="1197"/>
      <c r="B3258" s="317"/>
    </row>
    <row r="3259" spans="1:2">
      <c r="A3259" s="1197"/>
      <c r="B3259" s="317"/>
    </row>
    <row r="3260" spans="1:2">
      <c r="A3260" s="1197"/>
      <c r="B3260" s="317"/>
    </row>
    <row r="3261" spans="1:2">
      <c r="A3261" s="1197"/>
      <c r="B3261" s="317"/>
    </row>
    <row r="3262" spans="1:2">
      <c r="A3262" s="1197"/>
      <c r="B3262" s="317"/>
    </row>
    <row r="3263" spans="1:2">
      <c r="A3263" s="1197"/>
      <c r="B3263" s="317"/>
    </row>
    <row r="3264" spans="1:2">
      <c r="A3264" s="1197"/>
      <c r="B3264" s="317"/>
    </row>
    <row r="3265" spans="1:2">
      <c r="A3265" s="1197"/>
      <c r="B3265" s="317"/>
    </row>
    <row r="3266" spans="1:2">
      <c r="A3266" s="1197"/>
      <c r="B3266" s="317"/>
    </row>
    <row r="3267" spans="1:2">
      <c r="A3267" s="1197"/>
      <c r="B3267" s="317"/>
    </row>
    <row r="3268" spans="1:2">
      <c r="A3268" s="1197"/>
      <c r="B3268" s="317"/>
    </row>
    <row r="3269" spans="1:2">
      <c r="A3269" s="1197"/>
      <c r="B3269" s="317"/>
    </row>
    <row r="3270" spans="1:2">
      <c r="A3270" s="1197"/>
      <c r="B3270" s="317"/>
    </row>
    <row r="3271" spans="1:2">
      <c r="A3271" s="1197"/>
      <c r="B3271" s="317"/>
    </row>
    <row r="3272" spans="1:2">
      <c r="A3272" s="1197"/>
      <c r="B3272" s="317"/>
    </row>
    <row r="3273" spans="1:2">
      <c r="A3273" s="1197"/>
      <c r="B3273" s="317"/>
    </row>
    <row r="3274" spans="1:2">
      <c r="A3274" s="1197"/>
      <c r="B3274" s="317"/>
    </row>
    <row r="3275" spans="1:2">
      <c r="A3275" s="1197"/>
      <c r="B3275" s="317"/>
    </row>
    <row r="3276" spans="1:2">
      <c r="A3276" s="1197"/>
      <c r="B3276" s="317"/>
    </row>
    <row r="3277" spans="1:2">
      <c r="A3277" s="1197"/>
      <c r="B3277" s="317"/>
    </row>
    <row r="3278" spans="1:2">
      <c r="A3278" s="1197"/>
      <c r="B3278" s="317"/>
    </row>
    <row r="3279" spans="1:2">
      <c r="A3279" s="1197"/>
      <c r="B3279" s="317"/>
    </row>
    <row r="3280" spans="1:2">
      <c r="A3280" s="1197"/>
      <c r="B3280" s="317"/>
    </row>
    <row r="3281" spans="1:2">
      <c r="A3281" s="1197"/>
      <c r="B3281" s="317"/>
    </row>
    <row r="3282" spans="1:2">
      <c r="A3282" s="1197"/>
      <c r="B3282" s="317"/>
    </row>
    <row r="3283" spans="1:2">
      <c r="A3283" s="1197"/>
      <c r="B3283" s="317"/>
    </row>
    <row r="3284" spans="1:2">
      <c r="A3284" s="1197"/>
      <c r="B3284" s="317"/>
    </row>
    <row r="3285" spans="1:2">
      <c r="A3285" s="1197"/>
      <c r="B3285" s="317"/>
    </row>
    <row r="3286" spans="1:2">
      <c r="A3286" s="1197"/>
      <c r="B3286" s="317"/>
    </row>
    <row r="3287" spans="1:2">
      <c r="A3287" s="1197"/>
      <c r="B3287" s="317"/>
    </row>
    <row r="3288" spans="1:2">
      <c r="A3288" s="1197"/>
      <c r="B3288" s="317"/>
    </row>
    <row r="3289" spans="1:2">
      <c r="A3289" s="1197"/>
      <c r="B3289" s="317"/>
    </row>
    <row r="3290" spans="1:2">
      <c r="A3290" s="1197"/>
      <c r="B3290" s="317"/>
    </row>
    <row r="3291" spans="1:2">
      <c r="A3291" s="1197"/>
      <c r="B3291" s="317"/>
    </row>
    <row r="3292" spans="1:2">
      <c r="A3292" s="1197"/>
      <c r="B3292" s="317"/>
    </row>
    <row r="3293" spans="1:2">
      <c r="A3293" s="1197"/>
      <c r="B3293" s="317"/>
    </row>
    <row r="3294" spans="1:2">
      <c r="A3294" s="1197"/>
      <c r="B3294" s="317"/>
    </row>
    <row r="3295" spans="1:2">
      <c r="A3295" s="1197"/>
      <c r="B3295" s="317"/>
    </row>
    <row r="3296" spans="1:2">
      <c r="A3296" s="1197"/>
      <c r="B3296" s="317"/>
    </row>
    <row r="3297" spans="1:2">
      <c r="A3297" s="1197"/>
      <c r="B3297" s="317"/>
    </row>
    <row r="3298" spans="1:2">
      <c r="A3298" s="1197"/>
      <c r="B3298" s="317"/>
    </row>
    <row r="3299" spans="1:2">
      <c r="A3299" s="1197"/>
      <c r="B3299" s="317"/>
    </row>
    <row r="3300" spans="1:2">
      <c r="A3300" s="1197"/>
      <c r="B3300" s="317"/>
    </row>
    <row r="3301" spans="1:2">
      <c r="A3301" s="1197"/>
      <c r="B3301" s="317"/>
    </row>
    <row r="3302" spans="1:2">
      <c r="A3302" s="1197"/>
      <c r="B3302" s="317"/>
    </row>
    <row r="3303" spans="1:2">
      <c r="A3303" s="1197"/>
      <c r="B3303" s="317"/>
    </row>
    <row r="3304" spans="1:2">
      <c r="A3304" s="1197"/>
      <c r="B3304" s="317"/>
    </row>
    <row r="3305" spans="1:2">
      <c r="A3305" s="1197"/>
      <c r="B3305" s="317"/>
    </row>
    <row r="3306" spans="1:2">
      <c r="A3306" s="1197"/>
      <c r="B3306" s="317"/>
    </row>
    <row r="3307" spans="1:2">
      <c r="A3307" s="1197"/>
      <c r="B3307" s="317"/>
    </row>
    <row r="3308" spans="1:2">
      <c r="A3308" s="1197"/>
      <c r="B3308" s="317"/>
    </row>
    <row r="3309" spans="1:2">
      <c r="A3309" s="1197"/>
      <c r="B3309" s="317"/>
    </row>
    <row r="3310" spans="1:2">
      <c r="A3310" s="1197"/>
      <c r="B3310" s="317"/>
    </row>
    <row r="3311" spans="1:2">
      <c r="A3311" s="1197"/>
      <c r="B3311" s="317"/>
    </row>
    <row r="3312" spans="1:2">
      <c r="A3312" s="1197"/>
      <c r="B3312" s="317"/>
    </row>
    <row r="3313" spans="1:2">
      <c r="A3313" s="1197"/>
      <c r="B3313" s="317"/>
    </row>
    <row r="3314" spans="1:2">
      <c r="A3314" s="1197"/>
      <c r="B3314" s="317"/>
    </row>
    <row r="3315" spans="1:2">
      <c r="A3315" s="1197"/>
      <c r="B3315" s="317"/>
    </row>
    <row r="3316" spans="1:2">
      <c r="A3316" s="1197"/>
      <c r="B3316" s="317"/>
    </row>
    <row r="3317" spans="1:2">
      <c r="A3317" s="1197"/>
      <c r="B3317" s="317"/>
    </row>
    <row r="3318" spans="1:2">
      <c r="A3318" s="1197"/>
      <c r="B3318" s="317"/>
    </row>
    <row r="3319" spans="1:2">
      <c r="A3319" s="1197"/>
      <c r="B3319" s="317"/>
    </row>
    <row r="3320" spans="1:2">
      <c r="A3320" s="1197"/>
      <c r="B3320" s="317"/>
    </row>
    <row r="3321" spans="1:2">
      <c r="A3321" s="1197"/>
      <c r="B3321" s="317"/>
    </row>
    <row r="3322" spans="1:2">
      <c r="A3322" s="1197"/>
      <c r="B3322" s="317"/>
    </row>
    <row r="3323" spans="1:2">
      <c r="A3323" s="1197"/>
      <c r="B3323" s="317"/>
    </row>
    <row r="3324" spans="1:2">
      <c r="A3324" s="1197"/>
      <c r="B3324" s="317"/>
    </row>
    <row r="3325" spans="1:2">
      <c r="A3325" s="1197"/>
      <c r="B3325" s="317"/>
    </row>
    <row r="3326" spans="1:2">
      <c r="A3326" s="1197"/>
      <c r="B3326" s="317"/>
    </row>
    <row r="3327" spans="1:2">
      <c r="A3327" s="1197"/>
      <c r="B3327" s="317"/>
    </row>
    <row r="3328" spans="1:2">
      <c r="A3328" s="1197"/>
      <c r="B3328" s="317"/>
    </row>
    <row r="3329" spans="1:2">
      <c r="A3329" s="1197"/>
      <c r="B3329" s="317"/>
    </row>
    <row r="3330" spans="1:2">
      <c r="A3330" s="1197"/>
      <c r="B3330" s="317"/>
    </row>
    <row r="3331" spans="1:2">
      <c r="A3331" s="1197"/>
      <c r="B3331" s="317"/>
    </row>
    <row r="3332" spans="1:2">
      <c r="A3332" s="1197"/>
      <c r="B3332" s="317"/>
    </row>
    <row r="3333" spans="1:2">
      <c r="A3333" s="1197"/>
      <c r="B3333" s="317"/>
    </row>
    <row r="3334" spans="1:2">
      <c r="A3334" s="1197"/>
      <c r="B3334" s="317"/>
    </row>
    <row r="3335" spans="1:2">
      <c r="A3335" s="1197"/>
      <c r="B3335" s="317"/>
    </row>
    <row r="3336" spans="1:2">
      <c r="A3336" s="1197"/>
      <c r="B3336" s="317"/>
    </row>
    <row r="3337" spans="1:2">
      <c r="A3337" s="1197"/>
      <c r="B3337" s="317"/>
    </row>
    <row r="3338" spans="1:2">
      <c r="A3338" s="1197"/>
      <c r="B3338" s="317"/>
    </row>
    <row r="3339" spans="1:2">
      <c r="A3339" s="1197"/>
      <c r="B3339" s="317"/>
    </row>
    <row r="3340" spans="1:2">
      <c r="A3340" s="1197"/>
      <c r="B3340" s="317"/>
    </row>
    <row r="3341" spans="1:2">
      <c r="A3341" s="1197"/>
      <c r="B3341" s="317"/>
    </row>
    <row r="3342" spans="1:2">
      <c r="A3342" s="1197"/>
      <c r="B3342" s="317"/>
    </row>
    <row r="3343" spans="1:2">
      <c r="A3343" s="1197"/>
      <c r="B3343" s="317"/>
    </row>
    <row r="3344" spans="1:2">
      <c r="A3344" s="1197"/>
      <c r="B3344" s="317"/>
    </row>
    <row r="3345" spans="1:2">
      <c r="A3345" s="1197"/>
      <c r="B3345" s="317"/>
    </row>
    <row r="3346" spans="1:2">
      <c r="A3346" s="1197"/>
      <c r="B3346" s="317"/>
    </row>
    <row r="3347" spans="1:2">
      <c r="A3347" s="1197"/>
      <c r="B3347" s="317"/>
    </row>
    <row r="3348" spans="1:2">
      <c r="A3348" s="1197"/>
      <c r="B3348" s="317"/>
    </row>
    <row r="3349" spans="1:2">
      <c r="A3349" s="1197"/>
      <c r="B3349" s="317"/>
    </row>
    <row r="3350" spans="1:2">
      <c r="A3350" s="1197"/>
      <c r="B3350" s="317"/>
    </row>
    <row r="3351" spans="1:2">
      <c r="A3351" s="1197"/>
      <c r="B3351" s="317"/>
    </row>
    <row r="3352" spans="1:2">
      <c r="A3352" s="1197"/>
      <c r="B3352" s="317"/>
    </row>
    <row r="3353" spans="1:2">
      <c r="A3353" s="1197"/>
      <c r="B3353" s="317"/>
    </row>
    <row r="3354" spans="1:2">
      <c r="A3354" s="1197"/>
      <c r="B3354" s="317"/>
    </row>
    <row r="3355" spans="1:2">
      <c r="A3355" s="1197"/>
      <c r="B3355" s="317"/>
    </row>
    <row r="3356" spans="1:2">
      <c r="A3356" s="1197"/>
      <c r="B3356" s="317"/>
    </row>
    <row r="3357" spans="1:2">
      <c r="A3357" s="1197"/>
      <c r="B3357" s="317"/>
    </row>
    <row r="3358" spans="1:2">
      <c r="A3358" s="1197"/>
      <c r="B3358" s="317"/>
    </row>
    <row r="3359" spans="1:2">
      <c r="A3359" s="1197"/>
      <c r="B3359" s="317"/>
    </row>
    <row r="3360" spans="1:2">
      <c r="A3360" s="1197"/>
      <c r="B3360" s="317"/>
    </row>
    <row r="3361" spans="1:2">
      <c r="A3361" s="1197"/>
      <c r="B3361" s="317"/>
    </row>
    <row r="3362" spans="1:2">
      <c r="A3362" s="1197"/>
      <c r="B3362" s="317"/>
    </row>
    <row r="3363" spans="1:2">
      <c r="A3363" s="1197"/>
      <c r="B3363" s="317"/>
    </row>
    <row r="3364" spans="1:2">
      <c r="A3364" s="1197"/>
      <c r="B3364" s="317"/>
    </row>
    <row r="3365" spans="1:2">
      <c r="A3365" s="1197"/>
      <c r="B3365" s="317"/>
    </row>
    <row r="3366" spans="1:2">
      <c r="A3366" s="1197"/>
      <c r="B3366" s="317"/>
    </row>
    <row r="3367" spans="1:2">
      <c r="A3367" s="1197"/>
      <c r="B3367" s="317"/>
    </row>
    <row r="3368" spans="1:2">
      <c r="A3368" s="1197"/>
      <c r="B3368" s="317"/>
    </row>
    <row r="3369" spans="1:2">
      <c r="A3369" s="1197"/>
      <c r="B3369" s="317"/>
    </row>
    <row r="3370" spans="1:2">
      <c r="A3370" s="1197"/>
      <c r="B3370" s="317"/>
    </row>
    <row r="3371" spans="1:2">
      <c r="A3371" s="1197"/>
      <c r="B3371" s="317"/>
    </row>
    <row r="3372" spans="1:2">
      <c r="A3372" s="1197"/>
      <c r="B3372" s="317"/>
    </row>
    <row r="3373" spans="1:2">
      <c r="A3373" s="1197"/>
      <c r="B3373" s="317"/>
    </row>
    <row r="3374" spans="1:2">
      <c r="A3374" s="1197"/>
      <c r="B3374" s="317"/>
    </row>
    <row r="3375" spans="1:2">
      <c r="A3375" s="1197"/>
      <c r="B3375" s="317"/>
    </row>
    <row r="3376" spans="1:2">
      <c r="A3376" s="1197"/>
      <c r="B3376" s="317"/>
    </row>
    <row r="3377" spans="1:2">
      <c r="A3377" s="1197"/>
      <c r="B3377" s="317"/>
    </row>
    <row r="3378" spans="1:2">
      <c r="A3378" s="1197"/>
      <c r="B3378" s="317"/>
    </row>
    <row r="3379" spans="1:2">
      <c r="A3379" s="1197"/>
      <c r="B3379" s="317"/>
    </row>
    <row r="3380" spans="1:2">
      <c r="A3380" s="1197"/>
      <c r="B3380" s="317"/>
    </row>
    <row r="3381" spans="1:2">
      <c r="A3381" s="1197"/>
      <c r="B3381" s="317"/>
    </row>
    <row r="3382" spans="1:2">
      <c r="A3382" s="1197"/>
      <c r="B3382" s="317"/>
    </row>
    <row r="3383" spans="1:2">
      <c r="A3383" s="1197"/>
      <c r="B3383" s="317"/>
    </row>
    <row r="3384" spans="1:2">
      <c r="A3384" s="1197"/>
      <c r="B3384" s="317"/>
    </row>
    <row r="3385" spans="1:2">
      <c r="A3385" s="1197"/>
      <c r="B3385" s="317"/>
    </row>
    <row r="3386" spans="1:2">
      <c r="A3386" s="1197"/>
      <c r="B3386" s="317"/>
    </row>
    <row r="3387" spans="1:2">
      <c r="A3387" s="1197"/>
      <c r="B3387" s="317"/>
    </row>
    <row r="3388" spans="1:2">
      <c r="A3388" s="1197"/>
      <c r="B3388" s="317"/>
    </row>
    <row r="3389" spans="1:2">
      <c r="A3389" s="1197"/>
      <c r="B3389" s="317"/>
    </row>
    <row r="3390" spans="1:2">
      <c r="A3390" s="1197"/>
      <c r="B3390" s="317"/>
    </row>
    <row r="3391" spans="1:2">
      <c r="A3391" s="1197"/>
      <c r="B3391" s="317"/>
    </row>
    <row r="3392" spans="1:2">
      <c r="A3392" s="1197"/>
      <c r="B3392" s="317"/>
    </row>
    <row r="3393" spans="1:2">
      <c r="A3393" s="1197"/>
      <c r="B3393" s="317"/>
    </row>
    <row r="3394" spans="1:2">
      <c r="A3394" s="1197"/>
      <c r="B3394" s="317"/>
    </row>
    <row r="3395" spans="1:2">
      <c r="A3395" s="1197"/>
      <c r="B3395" s="317"/>
    </row>
    <row r="3396" spans="1:2">
      <c r="A3396" s="1197"/>
      <c r="B3396" s="317"/>
    </row>
    <row r="3397" spans="1:2">
      <c r="A3397" s="1197"/>
      <c r="B3397" s="317"/>
    </row>
    <row r="3398" spans="1:2">
      <c r="A3398" s="1197"/>
      <c r="B3398" s="317"/>
    </row>
    <row r="3399" spans="1:2">
      <c r="A3399" s="1197"/>
      <c r="B3399" s="317"/>
    </row>
    <row r="3400" spans="1:2">
      <c r="A3400" s="1197"/>
      <c r="B3400" s="317"/>
    </row>
    <row r="3401" spans="1:2">
      <c r="A3401" s="1197"/>
      <c r="B3401" s="317"/>
    </row>
    <row r="3402" spans="1:2">
      <c r="A3402" s="1197"/>
      <c r="B3402" s="317"/>
    </row>
    <row r="3403" spans="1:2">
      <c r="A3403" s="1197"/>
      <c r="B3403" s="317"/>
    </row>
    <row r="3404" spans="1:2">
      <c r="A3404" s="1197"/>
      <c r="B3404" s="317"/>
    </row>
    <row r="3405" spans="1:2">
      <c r="A3405" s="1197"/>
      <c r="B3405" s="317"/>
    </row>
    <row r="3406" spans="1:2">
      <c r="A3406" s="1197"/>
      <c r="B3406" s="317"/>
    </row>
    <row r="3407" spans="1:2">
      <c r="A3407" s="1197"/>
      <c r="B3407" s="317"/>
    </row>
    <row r="3408" spans="1:2">
      <c r="A3408" s="1197"/>
      <c r="B3408" s="317"/>
    </row>
    <row r="3409" spans="1:2">
      <c r="A3409" s="1197"/>
      <c r="B3409" s="317"/>
    </row>
    <row r="3410" spans="1:2">
      <c r="A3410" s="1197"/>
      <c r="B3410" s="317"/>
    </row>
    <row r="3411" spans="1:2">
      <c r="A3411" s="1197"/>
      <c r="B3411" s="317"/>
    </row>
    <row r="3412" spans="1:2">
      <c r="A3412" s="1197"/>
      <c r="B3412" s="317"/>
    </row>
    <row r="3413" spans="1:2">
      <c r="A3413" s="1197"/>
      <c r="B3413" s="317"/>
    </row>
    <row r="3414" spans="1:2">
      <c r="A3414" s="1197"/>
      <c r="B3414" s="317"/>
    </row>
    <row r="3415" spans="1:2">
      <c r="A3415" s="1197"/>
      <c r="B3415" s="317"/>
    </row>
    <row r="3416" spans="1:2">
      <c r="A3416" s="1197"/>
      <c r="B3416" s="317"/>
    </row>
    <row r="3417" spans="1:2">
      <c r="A3417" s="1197"/>
      <c r="B3417" s="317"/>
    </row>
    <row r="3418" spans="1:2">
      <c r="A3418" s="1197"/>
      <c r="B3418" s="317"/>
    </row>
    <row r="3419" spans="1:2">
      <c r="A3419" s="1197"/>
      <c r="B3419" s="317"/>
    </row>
    <row r="3420" spans="1:2">
      <c r="A3420" s="1197"/>
      <c r="B3420" s="317"/>
    </row>
    <row r="3421" spans="1:2">
      <c r="A3421" s="1197"/>
      <c r="B3421" s="317"/>
    </row>
    <row r="3422" spans="1:2">
      <c r="A3422" s="1197"/>
      <c r="B3422" s="317"/>
    </row>
    <row r="3423" spans="1:2">
      <c r="A3423" s="1197"/>
      <c r="B3423" s="317"/>
    </row>
    <row r="3424" spans="1:2">
      <c r="A3424" s="1197"/>
      <c r="B3424" s="317"/>
    </row>
    <row r="3425" spans="1:2">
      <c r="A3425" s="1197"/>
      <c r="B3425" s="317"/>
    </row>
    <row r="3426" spans="1:2">
      <c r="A3426" s="1197"/>
      <c r="B3426" s="317"/>
    </row>
    <row r="3427" spans="1:2">
      <c r="A3427" s="1197"/>
      <c r="B3427" s="317"/>
    </row>
    <row r="3428" spans="1:2">
      <c r="A3428" s="1197"/>
      <c r="B3428" s="317"/>
    </row>
    <row r="3429" spans="1:2">
      <c r="A3429" s="1197"/>
      <c r="B3429" s="317"/>
    </row>
    <row r="3430" spans="1:2">
      <c r="A3430" s="1197"/>
      <c r="B3430" s="317"/>
    </row>
    <row r="3431" spans="1:2">
      <c r="A3431" s="1197"/>
      <c r="B3431" s="317"/>
    </row>
    <row r="3432" spans="1:2">
      <c r="A3432" s="1197"/>
      <c r="B3432" s="317"/>
    </row>
    <row r="3433" spans="1:2">
      <c r="A3433" s="1197"/>
      <c r="B3433" s="317"/>
    </row>
    <row r="3434" spans="1:2">
      <c r="A3434" s="1197"/>
      <c r="B3434" s="317"/>
    </row>
    <row r="3435" spans="1:2">
      <c r="A3435" s="1197"/>
      <c r="B3435" s="317"/>
    </row>
    <row r="3436" spans="1:2">
      <c r="A3436" s="1197"/>
      <c r="B3436" s="317"/>
    </row>
    <row r="3437" spans="1:2">
      <c r="A3437" s="1197"/>
      <c r="B3437" s="317"/>
    </row>
    <row r="3438" spans="1:2">
      <c r="A3438" s="1197"/>
      <c r="B3438" s="317"/>
    </row>
    <row r="3439" spans="1:2">
      <c r="A3439" s="1197"/>
      <c r="B3439" s="317"/>
    </row>
    <row r="3440" spans="1:2">
      <c r="A3440" s="1197"/>
      <c r="B3440" s="317"/>
    </row>
    <row r="3441" spans="1:2">
      <c r="A3441" s="1197"/>
      <c r="B3441" s="317"/>
    </row>
    <row r="3442" spans="1:2">
      <c r="A3442" s="1197"/>
      <c r="B3442" s="317"/>
    </row>
    <row r="3443" spans="1:2">
      <c r="A3443" s="1197"/>
      <c r="B3443" s="317"/>
    </row>
    <row r="3444" spans="1:2">
      <c r="A3444" s="1197"/>
      <c r="B3444" s="317"/>
    </row>
    <row r="3445" spans="1:2">
      <c r="A3445" s="1197"/>
      <c r="B3445" s="317"/>
    </row>
    <row r="3446" spans="1:2">
      <c r="A3446" s="1197"/>
      <c r="B3446" s="317"/>
    </row>
    <row r="3447" spans="1:2">
      <c r="A3447" s="1197"/>
      <c r="B3447" s="317"/>
    </row>
    <row r="3448" spans="1:2">
      <c r="A3448" s="1197"/>
      <c r="B3448" s="317"/>
    </row>
    <row r="3449" spans="1:2">
      <c r="A3449" s="1197"/>
      <c r="B3449" s="317"/>
    </row>
    <row r="3450" spans="1:2">
      <c r="A3450" s="1197"/>
      <c r="B3450" s="317"/>
    </row>
    <row r="3451" spans="1:2">
      <c r="A3451" s="1197"/>
      <c r="B3451" s="317"/>
    </row>
    <row r="3452" spans="1:2">
      <c r="A3452" s="1197"/>
      <c r="B3452" s="317"/>
    </row>
    <row r="3453" spans="1:2">
      <c r="A3453" s="1197"/>
      <c r="B3453" s="317"/>
    </row>
    <row r="3454" spans="1:2">
      <c r="A3454" s="1197"/>
      <c r="B3454" s="317"/>
    </row>
    <row r="3455" spans="1:2">
      <c r="A3455" s="1197"/>
      <c r="B3455" s="317"/>
    </row>
    <row r="3456" spans="1:2">
      <c r="A3456" s="1197"/>
      <c r="B3456" s="317"/>
    </row>
    <row r="3457" spans="1:2">
      <c r="A3457" s="1197"/>
      <c r="B3457" s="317"/>
    </row>
    <row r="3458" spans="1:2">
      <c r="A3458" s="1197"/>
      <c r="B3458" s="317"/>
    </row>
    <row r="3459" spans="1:2">
      <c r="A3459" s="1197"/>
      <c r="B3459" s="317"/>
    </row>
    <row r="3460" spans="1:2">
      <c r="A3460" s="1197"/>
      <c r="B3460" s="317"/>
    </row>
    <row r="3461" spans="1:2">
      <c r="A3461" s="1197"/>
      <c r="B3461" s="317"/>
    </row>
    <row r="3462" spans="1:2">
      <c r="A3462" s="1197"/>
      <c r="B3462" s="317"/>
    </row>
    <row r="3463" spans="1:2">
      <c r="A3463" s="1197"/>
      <c r="B3463" s="317"/>
    </row>
    <row r="3464" spans="1:2">
      <c r="A3464" s="1197"/>
      <c r="B3464" s="317"/>
    </row>
    <row r="3465" spans="1:2">
      <c r="A3465" s="1197"/>
      <c r="B3465" s="317"/>
    </row>
    <row r="3466" spans="1:2">
      <c r="A3466" s="1197"/>
      <c r="B3466" s="317"/>
    </row>
    <row r="3467" spans="1:2">
      <c r="A3467" s="1197"/>
      <c r="B3467" s="317"/>
    </row>
    <row r="3468" spans="1:2">
      <c r="A3468" s="1197"/>
      <c r="B3468" s="317"/>
    </row>
    <row r="3469" spans="1:2">
      <c r="A3469" s="1197"/>
      <c r="B3469" s="317"/>
    </row>
    <row r="3470" spans="1:2">
      <c r="A3470" s="1197"/>
      <c r="B3470" s="317"/>
    </row>
    <row r="3471" spans="1:2">
      <c r="A3471" s="1197"/>
      <c r="B3471" s="317"/>
    </row>
    <row r="3472" spans="1:2">
      <c r="A3472" s="1197"/>
      <c r="B3472" s="317"/>
    </row>
    <row r="3473" spans="1:2">
      <c r="A3473" s="1197"/>
      <c r="B3473" s="317"/>
    </row>
    <row r="3474" spans="1:2">
      <c r="A3474" s="1197"/>
      <c r="B3474" s="317"/>
    </row>
    <row r="3475" spans="1:2">
      <c r="A3475" s="1197"/>
      <c r="B3475" s="317"/>
    </row>
    <row r="3476" spans="1:2">
      <c r="A3476" s="1197"/>
      <c r="B3476" s="317"/>
    </row>
    <row r="3477" spans="1:2">
      <c r="A3477" s="1197"/>
      <c r="B3477" s="317"/>
    </row>
    <row r="3478" spans="1:2">
      <c r="A3478" s="1197"/>
      <c r="B3478" s="317"/>
    </row>
    <row r="3479" spans="1:2">
      <c r="A3479" s="1197"/>
      <c r="B3479" s="317"/>
    </row>
    <row r="3480" spans="1:2">
      <c r="A3480" s="1197"/>
      <c r="B3480" s="317"/>
    </row>
    <row r="3481" spans="1:2">
      <c r="A3481" s="1197"/>
      <c r="B3481" s="317"/>
    </row>
    <row r="3482" spans="1:2">
      <c r="A3482" s="1197"/>
      <c r="B3482" s="317"/>
    </row>
    <row r="3483" spans="1:2">
      <c r="A3483" s="1197"/>
      <c r="B3483" s="317"/>
    </row>
    <row r="3484" spans="1:2">
      <c r="A3484" s="1197"/>
      <c r="B3484" s="317"/>
    </row>
    <row r="3485" spans="1:2">
      <c r="A3485" s="1197"/>
      <c r="B3485" s="317"/>
    </row>
    <row r="3486" spans="1:2">
      <c r="A3486" s="1197"/>
      <c r="B3486" s="317"/>
    </row>
    <row r="3487" spans="1:2">
      <c r="A3487" s="1197"/>
      <c r="B3487" s="317"/>
    </row>
    <row r="3488" spans="1:2">
      <c r="A3488" s="1197"/>
      <c r="B3488" s="317"/>
    </row>
    <row r="3489" spans="1:2">
      <c r="A3489" s="1197"/>
      <c r="B3489" s="317"/>
    </row>
    <row r="3490" spans="1:2">
      <c r="A3490" s="1197"/>
      <c r="B3490" s="317"/>
    </row>
    <row r="3491" spans="1:2">
      <c r="A3491" s="1197"/>
      <c r="B3491" s="317"/>
    </row>
    <row r="3492" spans="1:2">
      <c r="A3492" s="1197"/>
      <c r="B3492" s="317"/>
    </row>
    <row r="3493" spans="1:2">
      <c r="A3493" s="1197"/>
      <c r="B3493" s="317"/>
    </row>
    <row r="3494" spans="1:2">
      <c r="A3494" s="1197"/>
      <c r="B3494" s="317"/>
    </row>
    <row r="3495" spans="1:2">
      <c r="A3495" s="1197"/>
      <c r="B3495" s="317"/>
    </row>
    <row r="3496" spans="1:2">
      <c r="A3496" s="1197"/>
      <c r="B3496" s="317"/>
    </row>
    <row r="3497" spans="1:2">
      <c r="A3497" s="1197"/>
      <c r="B3497" s="317"/>
    </row>
    <row r="3498" spans="1:2">
      <c r="A3498" s="1197"/>
      <c r="B3498" s="317"/>
    </row>
    <row r="3499" spans="1:2">
      <c r="A3499" s="1197"/>
      <c r="B3499" s="317"/>
    </row>
    <row r="3500" spans="1:2">
      <c r="A3500" s="1197"/>
      <c r="B3500" s="317"/>
    </row>
    <row r="3501" spans="1:2">
      <c r="A3501" s="1197"/>
      <c r="B3501" s="317"/>
    </row>
    <row r="3502" spans="1:2">
      <c r="A3502" s="1197"/>
      <c r="B3502" s="317"/>
    </row>
    <row r="3503" spans="1:2">
      <c r="A3503" s="1197"/>
      <c r="B3503" s="317"/>
    </row>
    <row r="3504" spans="1:2">
      <c r="A3504" s="1197"/>
      <c r="B3504" s="317"/>
    </row>
    <row r="3505" spans="1:2">
      <c r="A3505" s="1197"/>
      <c r="B3505" s="317"/>
    </row>
    <row r="3506" spans="1:2">
      <c r="A3506" s="1197"/>
      <c r="B3506" s="317"/>
    </row>
    <row r="3507" spans="1:2">
      <c r="A3507" s="1197"/>
      <c r="B3507" s="317"/>
    </row>
    <row r="3508" spans="1:2">
      <c r="A3508" s="1197"/>
      <c r="B3508" s="317"/>
    </row>
    <row r="3509" spans="1:2">
      <c r="A3509" s="1197"/>
      <c r="B3509" s="317"/>
    </row>
    <row r="3510" spans="1:2">
      <c r="A3510" s="1197"/>
      <c r="B3510" s="317"/>
    </row>
    <row r="3511" spans="1:2">
      <c r="A3511" s="1197"/>
      <c r="B3511" s="317"/>
    </row>
    <row r="3512" spans="1:2">
      <c r="A3512" s="1197"/>
      <c r="B3512" s="317"/>
    </row>
    <row r="3513" spans="1:2">
      <c r="A3513" s="1197"/>
      <c r="B3513" s="317"/>
    </row>
    <row r="3514" spans="1:2">
      <c r="A3514" s="1197"/>
      <c r="B3514" s="317"/>
    </row>
    <row r="3515" spans="1:2">
      <c r="A3515" s="1197"/>
      <c r="B3515" s="317"/>
    </row>
    <row r="3516" spans="1:2">
      <c r="A3516" s="1197"/>
      <c r="B3516" s="317"/>
    </row>
    <row r="3517" spans="1:2">
      <c r="A3517" s="1197"/>
      <c r="B3517" s="317"/>
    </row>
    <row r="3518" spans="1:2">
      <c r="A3518" s="1197"/>
      <c r="B3518" s="317"/>
    </row>
    <row r="3519" spans="1:2">
      <c r="A3519" s="1197"/>
      <c r="B3519" s="317"/>
    </row>
    <row r="3520" spans="1:2">
      <c r="A3520" s="1197"/>
      <c r="B3520" s="317"/>
    </row>
    <row r="3521" spans="1:2">
      <c r="A3521" s="1197"/>
      <c r="B3521" s="317"/>
    </row>
    <row r="3522" spans="1:2">
      <c r="A3522" s="1197"/>
      <c r="B3522" s="317"/>
    </row>
    <row r="3523" spans="1:2">
      <c r="A3523" s="1197"/>
      <c r="B3523" s="317"/>
    </row>
    <row r="3524" spans="1:2">
      <c r="A3524" s="1197"/>
      <c r="B3524" s="317"/>
    </row>
    <row r="3525" spans="1:2">
      <c r="A3525" s="1197"/>
      <c r="B3525" s="317"/>
    </row>
    <row r="3526" spans="1:2">
      <c r="A3526" s="1197"/>
      <c r="B3526" s="317"/>
    </row>
    <row r="3527" spans="1:2">
      <c r="A3527" s="1197"/>
      <c r="B3527" s="317"/>
    </row>
    <row r="3528" spans="1:2">
      <c r="A3528" s="1197"/>
      <c r="B3528" s="317"/>
    </row>
    <row r="3529" spans="1:2">
      <c r="A3529" s="1197"/>
      <c r="B3529" s="317"/>
    </row>
    <row r="3530" spans="1:2">
      <c r="A3530" s="1197"/>
      <c r="B3530" s="317"/>
    </row>
    <row r="3531" spans="1:2">
      <c r="A3531" s="1197"/>
      <c r="B3531" s="317"/>
    </row>
    <row r="3532" spans="1:2">
      <c r="A3532" s="1197"/>
      <c r="B3532" s="317"/>
    </row>
    <row r="3533" spans="1:2">
      <c r="A3533" s="1197"/>
      <c r="B3533" s="317"/>
    </row>
    <row r="3534" spans="1:2">
      <c r="A3534" s="1197"/>
      <c r="B3534" s="317"/>
    </row>
    <row r="3535" spans="1:2">
      <c r="A3535" s="1197"/>
      <c r="B3535" s="317"/>
    </row>
    <row r="3536" spans="1:2">
      <c r="A3536" s="1197"/>
      <c r="B3536" s="317"/>
    </row>
    <row r="3537" spans="1:2">
      <c r="A3537" s="1197"/>
      <c r="B3537" s="317"/>
    </row>
    <row r="3538" spans="1:2">
      <c r="A3538" s="1197"/>
      <c r="B3538" s="317"/>
    </row>
    <row r="3539" spans="1:2">
      <c r="A3539" s="1197"/>
      <c r="B3539" s="317"/>
    </row>
    <row r="3540" spans="1:2">
      <c r="A3540" s="1197"/>
      <c r="B3540" s="317"/>
    </row>
    <row r="3541" spans="1:2">
      <c r="A3541" s="1197"/>
      <c r="B3541" s="317"/>
    </row>
    <row r="3542" spans="1:2">
      <c r="A3542" s="1197"/>
      <c r="B3542" s="317"/>
    </row>
    <row r="3543" spans="1:2">
      <c r="A3543" s="1197"/>
      <c r="B3543" s="317"/>
    </row>
    <row r="3544" spans="1:2">
      <c r="A3544" s="1197"/>
      <c r="B3544" s="317"/>
    </row>
    <row r="3545" spans="1:2">
      <c r="A3545" s="1197"/>
      <c r="B3545" s="317"/>
    </row>
    <row r="3546" spans="1:2">
      <c r="A3546" s="1197"/>
      <c r="B3546" s="317"/>
    </row>
    <row r="3547" spans="1:2">
      <c r="A3547" s="1197"/>
      <c r="B3547" s="317"/>
    </row>
    <row r="3548" spans="1:2">
      <c r="A3548" s="1197"/>
      <c r="B3548" s="317"/>
    </row>
    <row r="3549" spans="1:2">
      <c r="A3549" s="1197"/>
      <c r="B3549" s="317"/>
    </row>
    <row r="3550" spans="1:2">
      <c r="A3550" s="1197"/>
      <c r="B3550" s="317"/>
    </row>
    <row r="3551" spans="1:2">
      <c r="A3551" s="1197"/>
      <c r="B3551" s="317"/>
    </row>
    <row r="3552" spans="1:2">
      <c r="A3552" s="1197"/>
      <c r="B3552" s="317"/>
    </row>
    <row r="3553" spans="1:2">
      <c r="A3553" s="1197"/>
      <c r="B3553" s="317"/>
    </row>
    <row r="3554" spans="1:2">
      <c r="A3554" s="1197"/>
      <c r="B3554" s="317"/>
    </row>
    <row r="3555" spans="1:2">
      <c r="A3555" s="1197"/>
      <c r="B3555" s="317"/>
    </row>
    <row r="3556" spans="1:2">
      <c r="A3556" s="1197"/>
      <c r="B3556" s="317"/>
    </row>
    <row r="3557" spans="1:2">
      <c r="A3557" s="1197"/>
      <c r="B3557" s="317"/>
    </row>
    <row r="3558" spans="1:2">
      <c r="A3558" s="1197"/>
      <c r="B3558" s="317"/>
    </row>
    <row r="3559" spans="1:2">
      <c r="A3559" s="1197"/>
      <c r="B3559" s="317"/>
    </row>
    <row r="3560" spans="1:2">
      <c r="A3560" s="1197"/>
      <c r="B3560" s="317"/>
    </row>
    <row r="3561" spans="1:2">
      <c r="A3561" s="1197"/>
      <c r="B3561" s="317"/>
    </row>
    <row r="3562" spans="1:2">
      <c r="A3562" s="1197"/>
      <c r="B3562" s="317"/>
    </row>
    <row r="3563" spans="1:2">
      <c r="A3563" s="1197"/>
      <c r="B3563" s="317"/>
    </row>
    <row r="3564" spans="1:2">
      <c r="A3564" s="1197"/>
      <c r="B3564" s="317"/>
    </row>
    <row r="3565" spans="1:2">
      <c r="A3565" s="1197"/>
      <c r="B3565" s="317"/>
    </row>
    <row r="3566" spans="1:2">
      <c r="A3566" s="1197"/>
      <c r="B3566" s="317"/>
    </row>
    <row r="3567" spans="1:2">
      <c r="A3567" s="1197"/>
      <c r="B3567" s="317"/>
    </row>
    <row r="3568" spans="1:2">
      <c r="A3568" s="1197"/>
      <c r="B3568" s="317"/>
    </row>
    <row r="3569" spans="1:2">
      <c r="A3569" s="1197"/>
      <c r="B3569" s="317"/>
    </row>
    <row r="3570" spans="1:2">
      <c r="A3570" s="1197"/>
      <c r="B3570" s="317"/>
    </row>
    <row r="3571" spans="1:2">
      <c r="A3571" s="1197"/>
      <c r="B3571" s="317"/>
    </row>
    <row r="3572" spans="1:2">
      <c r="A3572" s="1197"/>
      <c r="B3572" s="317"/>
    </row>
    <row r="3573" spans="1:2">
      <c r="A3573" s="1197"/>
      <c r="B3573" s="317"/>
    </row>
    <row r="3574" spans="1:2">
      <c r="A3574" s="1197"/>
      <c r="B3574" s="317"/>
    </row>
    <row r="3575" spans="1:2">
      <c r="A3575" s="1197"/>
      <c r="B3575" s="317"/>
    </row>
    <row r="3576" spans="1:2">
      <c r="A3576" s="1197"/>
      <c r="B3576" s="317"/>
    </row>
    <row r="3577" spans="1:2">
      <c r="A3577" s="1197"/>
      <c r="B3577" s="317"/>
    </row>
    <row r="3578" spans="1:2">
      <c r="A3578" s="1197"/>
      <c r="B3578" s="317"/>
    </row>
    <row r="3579" spans="1:2">
      <c r="A3579" s="1197"/>
      <c r="B3579" s="317"/>
    </row>
    <row r="3580" spans="1:2">
      <c r="A3580" s="1197"/>
      <c r="B3580" s="317"/>
    </row>
    <row r="3581" spans="1:2">
      <c r="A3581" s="1197"/>
      <c r="B3581" s="317"/>
    </row>
    <row r="3582" spans="1:2">
      <c r="A3582" s="1197"/>
      <c r="B3582" s="317"/>
    </row>
    <row r="3583" spans="1:2">
      <c r="A3583" s="1197"/>
      <c r="B3583" s="317"/>
    </row>
    <row r="3584" spans="1:2">
      <c r="A3584" s="1197"/>
      <c r="B3584" s="317"/>
    </row>
    <row r="3585" spans="1:2">
      <c r="A3585" s="1197"/>
      <c r="B3585" s="317"/>
    </row>
    <row r="3586" spans="1:2">
      <c r="A3586" s="1197"/>
      <c r="B3586" s="317"/>
    </row>
    <row r="3587" spans="1:2">
      <c r="A3587" s="1197"/>
      <c r="B3587" s="317"/>
    </row>
    <row r="3588" spans="1:2">
      <c r="A3588" s="1197"/>
      <c r="B3588" s="317"/>
    </row>
    <row r="3589" spans="1:2">
      <c r="A3589" s="1197"/>
      <c r="B3589" s="317"/>
    </row>
    <row r="3590" spans="1:2">
      <c r="A3590" s="1197"/>
      <c r="B3590" s="317"/>
    </row>
    <row r="3591" spans="1:2">
      <c r="A3591" s="1197"/>
      <c r="B3591" s="317"/>
    </row>
    <row r="3592" spans="1:2">
      <c r="A3592" s="1197"/>
      <c r="B3592" s="317"/>
    </row>
    <row r="3593" spans="1:2">
      <c r="A3593" s="1197"/>
      <c r="B3593" s="317"/>
    </row>
    <row r="3594" spans="1:2">
      <c r="A3594" s="1197"/>
      <c r="B3594" s="317"/>
    </row>
    <row r="3595" spans="1:2">
      <c r="A3595" s="1197"/>
      <c r="B3595" s="317"/>
    </row>
    <row r="3596" spans="1:2">
      <c r="A3596" s="1197"/>
      <c r="B3596" s="317"/>
    </row>
    <row r="3597" spans="1:2">
      <c r="A3597" s="1197"/>
      <c r="B3597" s="317"/>
    </row>
    <row r="3598" spans="1:2">
      <c r="A3598" s="1197"/>
      <c r="B3598" s="317"/>
    </row>
    <row r="3599" spans="1:2">
      <c r="A3599" s="1197"/>
      <c r="B3599" s="317"/>
    </row>
    <row r="3600" spans="1:2">
      <c r="A3600" s="1197"/>
      <c r="B3600" s="317"/>
    </row>
    <row r="3601" spans="1:2">
      <c r="A3601" s="1197"/>
      <c r="B3601" s="317"/>
    </row>
    <row r="3602" spans="1:2">
      <c r="A3602" s="1197"/>
      <c r="B3602" s="317"/>
    </row>
    <row r="3603" spans="1:2">
      <c r="A3603" s="1197"/>
      <c r="B3603" s="317"/>
    </row>
    <row r="3604" spans="1:2">
      <c r="A3604" s="1197"/>
      <c r="B3604" s="317"/>
    </row>
    <row r="3605" spans="1:2">
      <c r="A3605" s="1197"/>
      <c r="B3605" s="317"/>
    </row>
    <row r="3606" spans="1:2">
      <c r="A3606" s="1197"/>
      <c r="B3606" s="317"/>
    </row>
    <row r="3607" spans="1:2">
      <c r="A3607" s="1197"/>
      <c r="B3607" s="317"/>
    </row>
    <row r="3608" spans="1:2">
      <c r="A3608" s="1197"/>
      <c r="B3608" s="317"/>
    </row>
    <row r="3609" spans="1:2">
      <c r="A3609" s="1197"/>
      <c r="B3609" s="317"/>
    </row>
    <row r="3610" spans="1:2">
      <c r="A3610" s="1197"/>
      <c r="B3610" s="317"/>
    </row>
    <row r="3611" spans="1:2">
      <c r="A3611" s="1197"/>
      <c r="B3611" s="317"/>
    </row>
    <row r="3612" spans="1:2">
      <c r="A3612" s="1197"/>
      <c r="B3612" s="317"/>
    </row>
    <row r="3613" spans="1:2">
      <c r="A3613" s="1197"/>
      <c r="B3613" s="317"/>
    </row>
    <row r="3614" spans="1:2">
      <c r="A3614" s="1197"/>
      <c r="B3614" s="317"/>
    </row>
    <row r="3615" spans="1:2">
      <c r="A3615" s="1197"/>
      <c r="B3615" s="317"/>
    </row>
    <row r="3616" spans="1:2">
      <c r="A3616" s="1197"/>
      <c r="B3616" s="317"/>
    </row>
    <row r="3617" spans="1:2">
      <c r="A3617" s="1197"/>
      <c r="B3617" s="317"/>
    </row>
    <row r="3618" spans="1:2">
      <c r="A3618" s="1197"/>
      <c r="B3618" s="317"/>
    </row>
    <row r="3619" spans="1:2">
      <c r="A3619" s="1197"/>
      <c r="B3619" s="317"/>
    </row>
    <row r="3620" spans="1:2">
      <c r="A3620" s="1197"/>
      <c r="B3620" s="317"/>
    </row>
    <row r="3621" spans="1:2">
      <c r="A3621" s="1197"/>
      <c r="B3621" s="317"/>
    </row>
    <row r="3622" spans="1:2">
      <c r="A3622" s="1197"/>
      <c r="B3622" s="317"/>
    </row>
    <row r="3623" spans="1:2">
      <c r="A3623" s="1197"/>
      <c r="B3623" s="317"/>
    </row>
    <row r="3624" spans="1:2">
      <c r="A3624" s="1197"/>
      <c r="B3624" s="317"/>
    </row>
    <row r="3625" spans="1:2">
      <c r="A3625" s="1197"/>
      <c r="B3625" s="317"/>
    </row>
    <row r="3626" spans="1:2">
      <c r="A3626" s="1197"/>
      <c r="B3626" s="317"/>
    </row>
    <row r="3627" spans="1:2">
      <c r="A3627" s="1197"/>
      <c r="B3627" s="317"/>
    </row>
    <row r="3628" spans="1:2">
      <c r="A3628" s="1197"/>
      <c r="B3628" s="317"/>
    </row>
    <row r="3629" spans="1:2">
      <c r="A3629" s="1197"/>
      <c r="B3629" s="317"/>
    </row>
    <row r="3630" spans="1:2">
      <c r="A3630" s="1197"/>
      <c r="B3630" s="317"/>
    </row>
    <row r="3631" spans="1:2">
      <c r="A3631" s="1197"/>
      <c r="B3631" s="317"/>
    </row>
    <row r="3632" spans="1:2">
      <c r="A3632" s="1197"/>
      <c r="B3632" s="317"/>
    </row>
    <row r="3633" spans="1:2">
      <c r="A3633" s="1197"/>
      <c r="B3633" s="317"/>
    </row>
    <row r="3634" spans="1:2">
      <c r="A3634" s="1197"/>
      <c r="B3634" s="317"/>
    </row>
    <row r="3635" spans="1:2">
      <c r="A3635" s="1197"/>
      <c r="B3635" s="317"/>
    </row>
    <row r="3636" spans="1:2">
      <c r="A3636" s="1197"/>
      <c r="B3636" s="317"/>
    </row>
    <row r="3637" spans="1:2">
      <c r="A3637" s="1197"/>
      <c r="B3637" s="317"/>
    </row>
    <row r="3638" spans="1:2">
      <c r="A3638" s="1197"/>
      <c r="B3638" s="317"/>
    </row>
    <row r="3639" spans="1:2">
      <c r="A3639" s="1197"/>
      <c r="B3639" s="317"/>
    </row>
    <row r="3640" spans="1:2">
      <c r="A3640" s="1197"/>
      <c r="B3640" s="317"/>
    </row>
    <row r="3641" spans="1:2">
      <c r="A3641" s="1197"/>
      <c r="B3641" s="317"/>
    </row>
    <row r="3642" spans="1:2">
      <c r="A3642" s="1197"/>
      <c r="B3642" s="317"/>
    </row>
    <row r="3643" spans="1:2">
      <c r="A3643" s="1197"/>
      <c r="B3643" s="317"/>
    </row>
    <row r="3644" spans="1:2">
      <c r="A3644" s="1197"/>
      <c r="B3644" s="317"/>
    </row>
    <row r="3645" spans="1:2">
      <c r="A3645" s="1197"/>
      <c r="B3645" s="317"/>
    </row>
    <row r="3646" spans="1:2">
      <c r="A3646" s="1197"/>
      <c r="B3646" s="317"/>
    </row>
    <row r="3647" spans="1:2">
      <c r="A3647" s="1197"/>
      <c r="B3647" s="317"/>
    </row>
    <row r="3648" spans="1:2">
      <c r="A3648" s="1197"/>
      <c r="B3648" s="317"/>
    </row>
    <row r="3649" spans="1:2">
      <c r="A3649" s="1197"/>
      <c r="B3649" s="317"/>
    </row>
    <row r="3650" spans="1:2">
      <c r="A3650" s="1197"/>
      <c r="B3650" s="317"/>
    </row>
    <row r="3651" spans="1:2">
      <c r="A3651" s="1197"/>
      <c r="B3651" s="317"/>
    </row>
    <row r="3652" spans="1:2">
      <c r="A3652" s="1197"/>
      <c r="B3652" s="317"/>
    </row>
    <row r="3653" spans="1:2">
      <c r="A3653" s="1197"/>
      <c r="B3653" s="317"/>
    </row>
    <row r="3654" spans="1:2">
      <c r="A3654" s="1197"/>
      <c r="B3654" s="317"/>
    </row>
    <row r="3655" spans="1:2">
      <c r="A3655" s="1197"/>
      <c r="B3655" s="317"/>
    </row>
    <row r="3656" spans="1:2">
      <c r="A3656" s="1197"/>
      <c r="B3656" s="317"/>
    </row>
    <row r="3657" spans="1:2">
      <c r="A3657" s="1197"/>
      <c r="B3657" s="317"/>
    </row>
    <row r="3658" spans="1:2">
      <c r="A3658" s="1197"/>
      <c r="B3658" s="317"/>
    </row>
    <row r="3659" spans="1:2">
      <c r="A3659" s="1197"/>
      <c r="B3659" s="317"/>
    </row>
    <row r="3660" spans="1:2">
      <c r="A3660" s="1197"/>
      <c r="B3660" s="317"/>
    </row>
    <row r="3661" spans="1:2">
      <c r="A3661" s="1197"/>
      <c r="B3661" s="317"/>
    </row>
    <row r="3662" spans="1:2">
      <c r="A3662" s="1197"/>
      <c r="B3662" s="317"/>
    </row>
    <row r="3663" spans="1:2">
      <c r="A3663" s="1197"/>
      <c r="B3663" s="317"/>
    </row>
    <row r="3664" spans="1:2">
      <c r="A3664" s="1197"/>
      <c r="B3664" s="317"/>
    </row>
    <row r="3665" spans="1:2">
      <c r="A3665" s="1197"/>
      <c r="B3665" s="317"/>
    </row>
    <row r="3666" spans="1:2">
      <c r="A3666" s="1197"/>
      <c r="B3666" s="317"/>
    </row>
    <row r="3667" spans="1:2">
      <c r="A3667" s="1197"/>
      <c r="B3667" s="317"/>
    </row>
    <row r="3668" spans="1:2">
      <c r="A3668" s="1197"/>
      <c r="B3668" s="317"/>
    </row>
    <row r="3669" spans="1:2">
      <c r="A3669" s="1197"/>
      <c r="B3669" s="317"/>
    </row>
    <row r="3670" spans="1:2">
      <c r="A3670" s="1197"/>
      <c r="B3670" s="317"/>
    </row>
    <row r="3671" spans="1:2">
      <c r="A3671" s="1197"/>
      <c r="B3671" s="317"/>
    </row>
    <row r="3672" spans="1:2">
      <c r="A3672" s="1197"/>
      <c r="B3672" s="317"/>
    </row>
    <row r="3673" spans="1:2">
      <c r="A3673" s="1197"/>
      <c r="B3673" s="317"/>
    </row>
    <row r="3674" spans="1:2">
      <c r="A3674" s="1197"/>
      <c r="B3674" s="317"/>
    </row>
    <row r="3675" spans="1:2">
      <c r="A3675" s="1197"/>
      <c r="B3675" s="317"/>
    </row>
    <row r="3676" spans="1:2">
      <c r="A3676" s="1197"/>
      <c r="B3676" s="317"/>
    </row>
    <row r="3677" spans="1:2">
      <c r="A3677" s="1197"/>
      <c r="B3677" s="317"/>
    </row>
    <row r="3678" spans="1:2">
      <c r="A3678" s="1197"/>
      <c r="B3678" s="317"/>
    </row>
    <row r="3679" spans="1:2">
      <c r="A3679" s="1197"/>
      <c r="B3679" s="317"/>
    </row>
    <row r="3680" spans="1:2">
      <c r="A3680" s="1197"/>
      <c r="B3680" s="317"/>
    </row>
    <row r="3681" spans="1:2">
      <c r="A3681" s="1197"/>
      <c r="B3681" s="317"/>
    </row>
    <row r="3682" spans="1:2">
      <c r="A3682" s="1197"/>
      <c r="B3682" s="317"/>
    </row>
    <row r="3683" spans="1:2">
      <c r="A3683" s="1197"/>
      <c r="B3683" s="317"/>
    </row>
    <row r="3684" spans="1:2">
      <c r="A3684" s="1197"/>
      <c r="B3684" s="317"/>
    </row>
    <row r="3685" spans="1:2">
      <c r="A3685" s="1197"/>
      <c r="B3685" s="317"/>
    </row>
    <row r="3686" spans="1:2">
      <c r="A3686" s="1197"/>
      <c r="B3686" s="317"/>
    </row>
    <row r="3687" spans="1:2">
      <c r="A3687" s="1197"/>
      <c r="B3687" s="317"/>
    </row>
    <row r="3688" spans="1:2">
      <c r="A3688" s="1197"/>
      <c r="B3688" s="317"/>
    </row>
    <row r="3689" spans="1:2">
      <c r="A3689" s="1197"/>
      <c r="B3689" s="317"/>
    </row>
    <row r="3690" spans="1:2">
      <c r="A3690" s="1197"/>
      <c r="B3690" s="317"/>
    </row>
    <row r="3691" spans="1:2">
      <c r="A3691" s="1197"/>
      <c r="B3691" s="317"/>
    </row>
    <row r="3692" spans="1:2">
      <c r="A3692" s="1197"/>
      <c r="B3692" s="317"/>
    </row>
    <row r="3693" spans="1:2">
      <c r="A3693" s="1197"/>
      <c r="B3693" s="317"/>
    </row>
    <row r="3694" spans="1:2">
      <c r="A3694" s="1197"/>
      <c r="B3694" s="317"/>
    </row>
    <row r="3695" spans="1:2">
      <c r="A3695" s="1197"/>
      <c r="B3695" s="317"/>
    </row>
    <row r="3696" spans="1:2">
      <c r="A3696" s="1197"/>
      <c r="B3696" s="317"/>
    </row>
    <row r="3697" spans="1:2">
      <c r="A3697" s="1197"/>
      <c r="B3697" s="317"/>
    </row>
    <row r="3698" spans="1:2">
      <c r="A3698" s="1197"/>
      <c r="B3698" s="317"/>
    </row>
    <row r="3699" spans="1:2">
      <c r="A3699" s="1197"/>
      <c r="B3699" s="317"/>
    </row>
    <row r="3700" spans="1:2">
      <c r="A3700" s="1197"/>
      <c r="B3700" s="317"/>
    </row>
    <row r="3701" spans="1:2">
      <c r="A3701" s="1197"/>
      <c r="B3701" s="317"/>
    </row>
    <row r="3702" spans="1:2">
      <c r="A3702" s="1197"/>
      <c r="B3702" s="317"/>
    </row>
    <row r="3703" spans="1:2">
      <c r="A3703" s="1197"/>
      <c r="B3703" s="317"/>
    </row>
    <row r="3704" spans="1:2">
      <c r="A3704" s="1197"/>
      <c r="B3704" s="317"/>
    </row>
    <row r="3705" spans="1:2">
      <c r="A3705" s="1197"/>
      <c r="B3705" s="317"/>
    </row>
    <row r="3706" spans="1:2">
      <c r="A3706" s="1197"/>
      <c r="B3706" s="317"/>
    </row>
    <row r="3707" spans="1:2">
      <c r="A3707" s="1197"/>
      <c r="B3707" s="317"/>
    </row>
    <row r="3708" spans="1:2">
      <c r="A3708" s="1197"/>
      <c r="B3708" s="317"/>
    </row>
    <row r="3709" spans="1:2">
      <c r="A3709" s="1197"/>
      <c r="B3709" s="317"/>
    </row>
    <row r="3710" spans="1:2">
      <c r="A3710" s="1197"/>
      <c r="B3710" s="317"/>
    </row>
    <row r="3711" spans="1:2">
      <c r="A3711" s="1197"/>
      <c r="B3711" s="317"/>
    </row>
    <row r="3712" spans="1:2">
      <c r="A3712" s="1197"/>
      <c r="B3712" s="317"/>
    </row>
    <row r="3713" spans="1:2">
      <c r="A3713" s="1197"/>
      <c r="B3713" s="317"/>
    </row>
    <row r="3714" spans="1:2">
      <c r="A3714" s="1197"/>
      <c r="B3714" s="317"/>
    </row>
    <row r="3715" spans="1:2">
      <c r="A3715" s="1197"/>
      <c r="B3715" s="317"/>
    </row>
    <row r="3716" spans="1:2">
      <c r="A3716" s="1197"/>
      <c r="B3716" s="317"/>
    </row>
    <row r="3717" spans="1:2">
      <c r="A3717" s="1197"/>
      <c r="B3717" s="317"/>
    </row>
    <row r="3718" spans="1:2">
      <c r="A3718" s="1197"/>
      <c r="B3718" s="317"/>
    </row>
    <row r="3719" spans="1:2">
      <c r="A3719" s="1197"/>
      <c r="B3719" s="317"/>
    </row>
    <row r="3720" spans="1:2">
      <c r="A3720" s="1197"/>
      <c r="B3720" s="317"/>
    </row>
    <row r="3721" spans="1:2">
      <c r="A3721" s="1197"/>
      <c r="B3721" s="317"/>
    </row>
    <row r="3722" spans="1:2">
      <c r="A3722" s="1197"/>
      <c r="B3722" s="317"/>
    </row>
    <row r="3723" spans="1:2">
      <c r="A3723" s="1197"/>
      <c r="B3723" s="317"/>
    </row>
    <row r="3724" spans="1:2">
      <c r="A3724" s="1197"/>
      <c r="B3724" s="317"/>
    </row>
    <row r="3725" spans="1:2">
      <c r="A3725" s="1197"/>
      <c r="B3725" s="317"/>
    </row>
    <row r="3726" spans="1:2">
      <c r="A3726" s="1197"/>
      <c r="B3726" s="317"/>
    </row>
    <row r="3727" spans="1:2">
      <c r="A3727" s="1197"/>
      <c r="B3727" s="317"/>
    </row>
    <row r="3728" spans="1:2">
      <c r="A3728" s="1197"/>
      <c r="B3728" s="317"/>
    </row>
    <row r="3729" spans="1:2">
      <c r="A3729" s="1197"/>
      <c r="B3729" s="317"/>
    </row>
    <row r="3730" spans="1:2">
      <c r="A3730" s="1197"/>
      <c r="B3730" s="317"/>
    </row>
    <row r="3731" spans="1:2">
      <c r="A3731" s="1197"/>
      <c r="B3731" s="317"/>
    </row>
    <row r="3732" spans="1:2">
      <c r="A3732" s="1197"/>
      <c r="B3732" s="317"/>
    </row>
    <row r="3733" spans="1:2">
      <c r="A3733" s="1197"/>
      <c r="B3733" s="317"/>
    </row>
    <row r="3734" spans="1:2">
      <c r="A3734" s="1197"/>
      <c r="B3734" s="317"/>
    </row>
    <row r="3735" spans="1:2">
      <c r="A3735" s="1197"/>
      <c r="B3735" s="317"/>
    </row>
    <row r="3736" spans="1:2">
      <c r="A3736" s="1197"/>
      <c r="B3736" s="317"/>
    </row>
    <row r="3737" spans="1:2">
      <c r="A3737" s="1197"/>
      <c r="B3737" s="317"/>
    </row>
    <row r="3738" spans="1:2">
      <c r="A3738" s="1197"/>
      <c r="B3738" s="317"/>
    </row>
    <row r="3739" spans="1:2">
      <c r="A3739" s="1197"/>
      <c r="B3739" s="317"/>
    </row>
    <row r="3740" spans="1:2">
      <c r="A3740" s="1197"/>
      <c r="B3740" s="317"/>
    </row>
    <row r="3741" spans="1:2">
      <c r="A3741" s="1197"/>
      <c r="B3741" s="317"/>
    </row>
    <row r="3742" spans="1:2">
      <c r="A3742" s="1197"/>
      <c r="B3742" s="317"/>
    </row>
    <row r="3743" spans="1:2">
      <c r="A3743" s="1197"/>
      <c r="B3743" s="317"/>
    </row>
    <row r="3744" spans="1:2">
      <c r="A3744" s="1197"/>
      <c r="B3744" s="317"/>
    </row>
    <row r="3745" spans="1:2">
      <c r="A3745" s="1197"/>
      <c r="B3745" s="317"/>
    </row>
    <row r="3746" spans="1:2">
      <c r="A3746" s="1197"/>
      <c r="B3746" s="317"/>
    </row>
    <row r="3747" spans="1:2">
      <c r="A3747" s="1197"/>
      <c r="B3747" s="317"/>
    </row>
    <row r="3748" spans="1:2">
      <c r="A3748" s="1197"/>
      <c r="B3748" s="317"/>
    </row>
    <row r="3749" spans="1:2">
      <c r="A3749" s="1197"/>
      <c r="B3749" s="317"/>
    </row>
    <row r="3750" spans="1:2">
      <c r="A3750" s="1197"/>
      <c r="B3750" s="317"/>
    </row>
    <row r="3751" spans="1:2">
      <c r="A3751" s="1197"/>
      <c r="B3751" s="317"/>
    </row>
    <row r="3752" spans="1:2">
      <c r="A3752" s="1197"/>
      <c r="B3752" s="317"/>
    </row>
    <row r="3753" spans="1:2">
      <c r="A3753" s="1197"/>
      <c r="B3753" s="317"/>
    </row>
    <row r="3754" spans="1:2">
      <c r="A3754" s="1197"/>
      <c r="B3754" s="317"/>
    </row>
    <row r="3755" spans="1:2">
      <c r="A3755" s="1197"/>
      <c r="B3755" s="317"/>
    </row>
    <row r="3756" spans="1:2">
      <c r="A3756" s="1197"/>
      <c r="B3756" s="317"/>
    </row>
    <row r="3757" spans="1:2">
      <c r="A3757" s="1197"/>
      <c r="B3757" s="317"/>
    </row>
    <row r="3758" spans="1:2">
      <c r="A3758" s="1197"/>
      <c r="B3758" s="317"/>
    </row>
    <row r="3759" spans="1:2">
      <c r="A3759" s="1197"/>
      <c r="B3759" s="317"/>
    </row>
    <row r="3760" spans="1:2">
      <c r="A3760" s="1197"/>
      <c r="B3760" s="317"/>
    </row>
    <row r="3761" spans="1:2">
      <c r="A3761" s="1197"/>
      <c r="B3761" s="317"/>
    </row>
    <row r="3762" spans="1:2">
      <c r="A3762" s="1197"/>
      <c r="B3762" s="317"/>
    </row>
    <row r="3763" spans="1:2">
      <c r="A3763" s="1197"/>
      <c r="B3763" s="317"/>
    </row>
    <row r="3764" spans="1:2">
      <c r="A3764" s="1197"/>
      <c r="B3764" s="317"/>
    </row>
    <row r="3765" spans="1:2">
      <c r="A3765" s="1197"/>
      <c r="B3765" s="317"/>
    </row>
    <row r="3766" spans="1:2">
      <c r="A3766" s="1197"/>
      <c r="B3766" s="317"/>
    </row>
    <row r="3767" spans="1:2">
      <c r="A3767" s="1197"/>
      <c r="B3767" s="317"/>
    </row>
    <row r="3768" spans="1:2">
      <c r="A3768" s="1197"/>
      <c r="B3768" s="317"/>
    </row>
    <row r="3769" spans="1:2">
      <c r="A3769" s="1197"/>
      <c r="B3769" s="317"/>
    </row>
    <row r="3770" spans="1:2">
      <c r="A3770" s="1197"/>
      <c r="B3770" s="317"/>
    </row>
    <row r="3771" spans="1:2">
      <c r="A3771" s="1197"/>
      <c r="B3771" s="317"/>
    </row>
    <row r="3772" spans="1:2">
      <c r="A3772" s="1197"/>
      <c r="B3772" s="317"/>
    </row>
    <row r="3773" spans="1:2">
      <c r="A3773" s="1197"/>
      <c r="B3773" s="317"/>
    </row>
    <row r="3774" spans="1:2">
      <c r="A3774" s="1197"/>
      <c r="B3774" s="317"/>
    </row>
    <row r="3775" spans="1:2">
      <c r="A3775" s="1197"/>
      <c r="B3775" s="317"/>
    </row>
    <row r="3776" spans="1:2">
      <c r="A3776" s="1197"/>
      <c r="B3776" s="317"/>
    </row>
    <row r="3777" spans="1:2">
      <c r="A3777" s="1197"/>
      <c r="B3777" s="317"/>
    </row>
    <row r="3778" spans="1:2">
      <c r="A3778" s="1197"/>
      <c r="B3778" s="317"/>
    </row>
    <row r="3779" spans="1:2">
      <c r="A3779" s="1197"/>
      <c r="B3779" s="317"/>
    </row>
    <row r="3780" spans="1:2">
      <c r="A3780" s="1197"/>
      <c r="B3780" s="317"/>
    </row>
    <row r="3781" spans="1:2">
      <c r="A3781" s="1197"/>
      <c r="B3781" s="317"/>
    </row>
    <row r="3782" spans="1:2">
      <c r="A3782" s="1197"/>
      <c r="B3782" s="317"/>
    </row>
    <row r="3783" spans="1:2">
      <c r="A3783" s="1197"/>
      <c r="B3783" s="317"/>
    </row>
    <row r="3784" spans="1:2">
      <c r="A3784" s="1197"/>
      <c r="B3784" s="317"/>
    </row>
    <row r="3785" spans="1:2">
      <c r="A3785" s="1197"/>
      <c r="B3785" s="317"/>
    </row>
    <row r="3786" spans="1:2">
      <c r="A3786" s="1197"/>
      <c r="B3786" s="317"/>
    </row>
    <row r="3787" spans="1:2">
      <c r="A3787" s="1197"/>
      <c r="B3787" s="317"/>
    </row>
    <row r="3788" spans="1:2">
      <c r="A3788" s="1197"/>
      <c r="B3788" s="317"/>
    </row>
    <row r="3789" spans="1:2">
      <c r="A3789" s="1197"/>
      <c r="B3789" s="317"/>
    </row>
    <row r="3790" spans="1:2">
      <c r="A3790" s="1197"/>
      <c r="B3790" s="317"/>
    </row>
    <row r="3791" spans="1:2">
      <c r="A3791" s="1197"/>
      <c r="B3791" s="317"/>
    </row>
    <row r="3792" spans="1:2">
      <c r="A3792" s="1197"/>
      <c r="B3792" s="317"/>
    </row>
    <row r="3793" spans="1:2">
      <c r="A3793" s="1197"/>
      <c r="B3793" s="317"/>
    </row>
    <row r="3794" spans="1:2">
      <c r="A3794" s="1197"/>
      <c r="B3794" s="317"/>
    </row>
    <row r="3795" spans="1:2">
      <c r="A3795" s="1197"/>
      <c r="B3795" s="317"/>
    </row>
    <row r="3796" spans="1:2">
      <c r="A3796" s="1197"/>
      <c r="B3796" s="317"/>
    </row>
    <row r="3797" spans="1:2">
      <c r="A3797" s="1197"/>
      <c r="B3797" s="317"/>
    </row>
    <row r="3798" spans="1:2">
      <c r="A3798" s="1197"/>
      <c r="B3798" s="317"/>
    </row>
    <row r="3799" spans="1:2">
      <c r="A3799" s="1197"/>
      <c r="B3799" s="317"/>
    </row>
    <row r="3800" spans="1:2">
      <c r="A3800" s="1197"/>
      <c r="B3800" s="317"/>
    </row>
    <row r="3801" spans="1:2">
      <c r="A3801" s="1197"/>
      <c r="B3801" s="317"/>
    </row>
    <row r="3802" spans="1:2">
      <c r="A3802" s="1197"/>
      <c r="B3802" s="317"/>
    </row>
    <row r="3803" spans="1:2">
      <c r="A3803" s="1197"/>
      <c r="B3803" s="317"/>
    </row>
    <row r="3804" spans="1:2">
      <c r="A3804" s="1197"/>
      <c r="B3804" s="317"/>
    </row>
    <row r="3805" spans="1:2">
      <c r="A3805" s="1197"/>
      <c r="B3805" s="317"/>
    </row>
    <row r="3806" spans="1:2">
      <c r="A3806" s="1197"/>
      <c r="B3806" s="317"/>
    </row>
    <row r="3807" spans="1:2">
      <c r="A3807" s="1197"/>
      <c r="B3807" s="317"/>
    </row>
    <row r="3808" spans="1:2">
      <c r="A3808" s="1197"/>
      <c r="B3808" s="317"/>
    </row>
    <row r="3809" spans="1:2">
      <c r="A3809" s="1197"/>
      <c r="B3809" s="317"/>
    </row>
    <row r="3810" spans="1:2">
      <c r="A3810" s="1197"/>
      <c r="B3810" s="317"/>
    </row>
    <row r="3811" spans="1:2">
      <c r="A3811" s="1197"/>
      <c r="B3811" s="317"/>
    </row>
    <row r="3812" spans="1:2">
      <c r="A3812" s="1197"/>
      <c r="B3812" s="317"/>
    </row>
    <row r="3813" spans="1:2">
      <c r="A3813" s="1197"/>
      <c r="B3813" s="317"/>
    </row>
    <row r="3814" spans="1:2">
      <c r="A3814" s="1197"/>
      <c r="B3814" s="317"/>
    </row>
    <row r="3815" spans="1:2">
      <c r="A3815" s="1197"/>
      <c r="B3815" s="317"/>
    </row>
    <row r="3816" spans="1:2">
      <c r="A3816" s="1197"/>
      <c r="B3816" s="317"/>
    </row>
    <row r="3817" spans="1:2">
      <c r="A3817" s="1197"/>
      <c r="B3817" s="317"/>
    </row>
    <row r="3818" spans="1:2">
      <c r="A3818" s="1197"/>
      <c r="B3818" s="317"/>
    </row>
    <row r="3819" spans="1:2">
      <c r="A3819" s="1197"/>
      <c r="B3819" s="317"/>
    </row>
    <row r="3820" spans="1:2">
      <c r="A3820" s="1197"/>
      <c r="B3820" s="317"/>
    </row>
    <row r="3821" spans="1:2">
      <c r="A3821" s="1197"/>
      <c r="B3821" s="317"/>
    </row>
    <row r="3822" spans="1:2">
      <c r="A3822" s="1197"/>
      <c r="B3822" s="317"/>
    </row>
    <row r="3823" spans="1:2">
      <c r="A3823" s="1197"/>
      <c r="B3823" s="317"/>
    </row>
    <row r="3824" spans="1:2">
      <c r="A3824" s="1197"/>
      <c r="B3824" s="317"/>
    </row>
    <row r="3825" spans="1:2">
      <c r="A3825" s="1197"/>
      <c r="B3825" s="317"/>
    </row>
    <row r="3826" spans="1:2">
      <c r="A3826" s="1197"/>
      <c r="B3826" s="317"/>
    </row>
    <row r="3827" spans="1:2">
      <c r="A3827" s="1197"/>
      <c r="B3827" s="317"/>
    </row>
    <row r="3828" spans="1:2">
      <c r="A3828" s="1197"/>
      <c r="B3828" s="317"/>
    </row>
    <row r="3829" spans="1:2">
      <c r="A3829" s="1197"/>
      <c r="B3829" s="317"/>
    </row>
    <row r="3830" spans="1:2">
      <c r="A3830" s="1197"/>
      <c r="B3830" s="317"/>
    </row>
    <row r="3831" spans="1:2">
      <c r="A3831" s="1197"/>
      <c r="B3831" s="317"/>
    </row>
    <row r="3832" spans="1:2">
      <c r="A3832" s="1197"/>
      <c r="B3832" s="317"/>
    </row>
    <row r="3833" spans="1:2">
      <c r="A3833" s="1197"/>
      <c r="B3833" s="317"/>
    </row>
    <row r="3834" spans="1:2">
      <c r="A3834" s="1197"/>
      <c r="B3834" s="317"/>
    </row>
    <row r="3835" spans="1:2">
      <c r="A3835" s="1197"/>
      <c r="B3835" s="317"/>
    </row>
    <row r="3836" spans="1:2">
      <c r="A3836" s="1197"/>
      <c r="B3836" s="317"/>
    </row>
    <row r="3837" spans="1:2">
      <c r="A3837" s="1197"/>
      <c r="B3837" s="317"/>
    </row>
    <row r="3838" spans="1:2">
      <c r="A3838" s="1197"/>
      <c r="B3838" s="317"/>
    </row>
    <row r="3839" spans="1:2">
      <c r="A3839" s="1197"/>
      <c r="B3839" s="317"/>
    </row>
    <row r="3840" spans="1:2">
      <c r="A3840" s="1197"/>
      <c r="B3840" s="317"/>
    </row>
    <row r="3841" spans="1:2">
      <c r="A3841" s="1197"/>
      <c r="B3841" s="317"/>
    </row>
    <row r="3842" spans="1:2">
      <c r="A3842" s="1197"/>
      <c r="B3842" s="317"/>
    </row>
    <row r="3843" spans="1:2">
      <c r="A3843" s="1197"/>
      <c r="B3843" s="317"/>
    </row>
    <row r="3844" spans="1:2">
      <c r="A3844" s="1197"/>
      <c r="B3844" s="317"/>
    </row>
    <row r="3845" spans="1:2">
      <c r="A3845" s="1197"/>
      <c r="B3845" s="317"/>
    </row>
    <row r="3846" spans="1:2">
      <c r="A3846" s="1197"/>
      <c r="B3846" s="317"/>
    </row>
    <row r="3847" spans="1:2">
      <c r="A3847" s="1197"/>
      <c r="B3847" s="317"/>
    </row>
    <row r="3848" spans="1:2">
      <c r="A3848" s="1197"/>
      <c r="B3848" s="317"/>
    </row>
    <row r="3849" spans="1:2">
      <c r="A3849" s="1197"/>
      <c r="B3849" s="317"/>
    </row>
    <row r="3850" spans="1:2">
      <c r="A3850" s="1197"/>
      <c r="B3850" s="317"/>
    </row>
    <row r="3851" spans="1:2">
      <c r="A3851" s="1197"/>
      <c r="B3851" s="317"/>
    </row>
    <row r="3852" spans="1:2">
      <c r="A3852" s="1197"/>
      <c r="B3852" s="317"/>
    </row>
    <row r="3853" spans="1:2">
      <c r="A3853" s="1197"/>
      <c r="B3853" s="317"/>
    </row>
    <row r="3854" spans="1:2">
      <c r="A3854" s="1197"/>
      <c r="B3854" s="317"/>
    </row>
    <row r="3855" spans="1:2">
      <c r="A3855" s="1197"/>
      <c r="B3855" s="317"/>
    </row>
    <row r="3856" spans="1:2">
      <c r="A3856" s="1197"/>
      <c r="B3856" s="317"/>
    </row>
    <row r="3857" spans="1:2">
      <c r="A3857" s="1197"/>
      <c r="B3857" s="317"/>
    </row>
    <row r="3858" spans="1:2">
      <c r="A3858" s="1197"/>
      <c r="B3858" s="317"/>
    </row>
    <row r="3859" spans="1:2">
      <c r="A3859" s="1197"/>
      <c r="B3859" s="317"/>
    </row>
    <row r="3860" spans="1:2">
      <c r="A3860" s="1197"/>
      <c r="B3860" s="317"/>
    </row>
    <row r="3861" spans="1:2">
      <c r="A3861" s="1197"/>
      <c r="B3861" s="317"/>
    </row>
    <row r="3862" spans="1:2">
      <c r="A3862" s="1197"/>
      <c r="B3862" s="317"/>
    </row>
    <row r="3863" spans="1:2">
      <c r="A3863" s="1197"/>
      <c r="B3863" s="317"/>
    </row>
    <row r="3864" spans="1:2">
      <c r="A3864" s="1197"/>
      <c r="B3864" s="317"/>
    </row>
    <row r="3865" spans="1:2">
      <c r="A3865" s="1197"/>
      <c r="B3865" s="317"/>
    </row>
    <row r="3866" spans="1:2">
      <c r="A3866" s="1197"/>
      <c r="B3866" s="317"/>
    </row>
    <row r="3867" spans="1:2">
      <c r="A3867" s="1197"/>
      <c r="B3867" s="317"/>
    </row>
    <row r="3868" spans="1:2">
      <c r="A3868" s="1197"/>
      <c r="B3868" s="317"/>
    </row>
    <row r="3869" spans="1:2">
      <c r="A3869" s="1197"/>
      <c r="B3869" s="317"/>
    </row>
    <row r="3870" spans="1:2">
      <c r="A3870" s="1197"/>
      <c r="B3870" s="317"/>
    </row>
    <row r="3871" spans="1:2">
      <c r="A3871" s="1197"/>
      <c r="B3871" s="317"/>
    </row>
    <row r="3872" spans="1:2">
      <c r="A3872" s="1197"/>
      <c r="B3872" s="317"/>
    </row>
    <row r="3873" spans="1:2">
      <c r="A3873" s="1197"/>
      <c r="B3873" s="317"/>
    </row>
    <row r="3874" spans="1:2">
      <c r="A3874" s="1197"/>
      <c r="B3874" s="317"/>
    </row>
    <row r="3875" spans="1:2">
      <c r="A3875" s="1197"/>
      <c r="B3875" s="317"/>
    </row>
    <row r="3876" spans="1:2">
      <c r="A3876" s="1197"/>
      <c r="B3876" s="317"/>
    </row>
    <row r="3877" spans="1:2">
      <c r="A3877" s="1197"/>
      <c r="B3877" s="317"/>
    </row>
    <row r="3878" spans="1:2">
      <c r="A3878" s="1197"/>
      <c r="B3878" s="317"/>
    </row>
    <row r="3879" spans="1:2">
      <c r="A3879" s="1197"/>
      <c r="B3879" s="317"/>
    </row>
    <row r="3880" spans="1:2">
      <c r="A3880" s="1197"/>
      <c r="B3880" s="317"/>
    </row>
    <row r="3881" spans="1:2">
      <c r="A3881" s="1197"/>
      <c r="B3881" s="317"/>
    </row>
    <row r="3882" spans="1:2">
      <c r="A3882" s="1197"/>
      <c r="B3882" s="317"/>
    </row>
    <row r="3883" spans="1:2">
      <c r="A3883" s="1197"/>
      <c r="B3883" s="317"/>
    </row>
    <row r="3884" spans="1:2">
      <c r="A3884" s="1197"/>
      <c r="B3884" s="317"/>
    </row>
    <row r="3885" spans="1:2">
      <c r="A3885" s="1197"/>
      <c r="B3885" s="317"/>
    </row>
    <row r="3886" spans="1:2">
      <c r="A3886" s="1197"/>
      <c r="B3886" s="317"/>
    </row>
    <row r="3887" spans="1:2">
      <c r="A3887" s="1197"/>
      <c r="B3887" s="317"/>
    </row>
    <row r="3888" spans="1:2">
      <c r="A3888" s="1197"/>
      <c r="B3888" s="317"/>
    </row>
    <row r="3889" spans="1:2">
      <c r="A3889" s="1197"/>
      <c r="B3889" s="317"/>
    </row>
    <row r="3890" spans="1:2">
      <c r="A3890" s="1197"/>
      <c r="B3890" s="317"/>
    </row>
    <row r="3891" spans="1:2">
      <c r="A3891" s="1197"/>
      <c r="B3891" s="317"/>
    </row>
    <row r="3892" spans="1:2">
      <c r="A3892" s="1197"/>
      <c r="B3892" s="317"/>
    </row>
    <row r="3893" spans="1:2">
      <c r="A3893" s="1197"/>
      <c r="B3893" s="317"/>
    </row>
    <row r="3894" spans="1:2">
      <c r="A3894" s="1197"/>
      <c r="B3894" s="317"/>
    </row>
    <row r="3895" spans="1:2">
      <c r="A3895" s="1197"/>
      <c r="B3895" s="317"/>
    </row>
    <row r="3896" spans="1:2">
      <c r="A3896" s="1197"/>
      <c r="B3896" s="317"/>
    </row>
    <row r="3897" spans="1:2">
      <c r="A3897" s="1197"/>
      <c r="B3897" s="317"/>
    </row>
    <row r="3898" spans="1:2">
      <c r="A3898" s="1197"/>
      <c r="B3898" s="317"/>
    </row>
    <row r="3899" spans="1:2">
      <c r="A3899" s="1197"/>
      <c r="B3899" s="317"/>
    </row>
    <row r="3900" spans="1:2">
      <c r="A3900" s="1197"/>
      <c r="B3900" s="317"/>
    </row>
    <row r="3901" spans="1:2">
      <c r="A3901" s="1197"/>
      <c r="B3901" s="317"/>
    </row>
    <row r="3902" spans="1:2">
      <c r="A3902" s="1197"/>
      <c r="B3902" s="317"/>
    </row>
    <row r="3903" spans="1:2">
      <c r="A3903" s="1197"/>
      <c r="B3903" s="317"/>
    </row>
    <row r="3904" spans="1:2">
      <c r="A3904" s="1197"/>
      <c r="B3904" s="317"/>
    </row>
    <row r="3905" spans="1:2">
      <c r="A3905" s="1197"/>
      <c r="B3905" s="317"/>
    </row>
    <row r="3906" spans="1:2">
      <c r="A3906" s="1197"/>
      <c r="B3906" s="317"/>
    </row>
    <row r="3907" spans="1:2">
      <c r="A3907" s="1197"/>
      <c r="B3907" s="317"/>
    </row>
    <row r="3908" spans="1:2">
      <c r="A3908" s="1197"/>
      <c r="B3908" s="317"/>
    </row>
    <row r="3909" spans="1:2">
      <c r="A3909" s="1197"/>
      <c r="B3909" s="317"/>
    </row>
    <row r="3910" spans="1:2">
      <c r="A3910" s="1197"/>
      <c r="B3910" s="317"/>
    </row>
    <row r="3911" spans="1:2">
      <c r="A3911" s="1197"/>
      <c r="B3911" s="317"/>
    </row>
    <row r="3912" spans="1:2">
      <c r="A3912" s="1197"/>
      <c r="B3912" s="317"/>
    </row>
    <row r="3913" spans="1:2">
      <c r="A3913" s="1197"/>
      <c r="B3913" s="317"/>
    </row>
    <row r="3914" spans="1:2">
      <c r="A3914" s="1197"/>
      <c r="B3914" s="317"/>
    </row>
    <row r="3915" spans="1:2">
      <c r="A3915" s="1197"/>
      <c r="B3915" s="317"/>
    </row>
    <row r="3916" spans="1:2">
      <c r="A3916" s="1197"/>
      <c r="B3916" s="317"/>
    </row>
    <row r="3917" spans="1:2">
      <c r="A3917" s="1197"/>
      <c r="B3917" s="317"/>
    </row>
    <row r="3918" spans="1:2">
      <c r="A3918" s="1197"/>
      <c r="B3918" s="317"/>
    </row>
    <row r="3919" spans="1:2">
      <c r="A3919" s="1197"/>
      <c r="B3919" s="317"/>
    </row>
    <row r="3920" spans="1:2">
      <c r="A3920" s="1197"/>
      <c r="B3920" s="317"/>
    </row>
    <row r="3921" spans="1:2">
      <c r="A3921" s="1197"/>
      <c r="B3921" s="317"/>
    </row>
    <row r="3922" spans="1:2">
      <c r="A3922" s="1197"/>
      <c r="B3922" s="317"/>
    </row>
    <row r="3923" spans="1:2">
      <c r="A3923" s="1197"/>
      <c r="B3923" s="317"/>
    </row>
    <row r="3924" spans="1:2">
      <c r="A3924" s="1197"/>
      <c r="B3924" s="317"/>
    </row>
    <row r="3925" spans="1:2">
      <c r="A3925" s="1197"/>
      <c r="B3925" s="317"/>
    </row>
    <row r="3926" spans="1:2">
      <c r="A3926" s="1197"/>
      <c r="B3926" s="317"/>
    </row>
    <row r="3927" spans="1:2">
      <c r="A3927" s="1197"/>
      <c r="B3927" s="317"/>
    </row>
    <row r="3928" spans="1:2">
      <c r="A3928" s="1197"/>
      <c r="B3928" s="317"/>
    </row>
    <row r="3929" spans="1:2">
      <c r="A3929" s="1197"/>
      <c r="B3929" s="317"/>
    </row>
    <row r="3930" spans="1:2">
      <c r="A3930" s="1197"/>
      <c r="B3930" s="317"/>
    </row>
    <row r="3931" spans="1:2">
      <c r="A3931" s="1197"/>
      <c r="B3931" s="317"/>
    </row>
    <row r="3932" spans="1:2">
      <c r="A3932" s="1197"/>
      <c r="B3932" s="317"/>
    </row>
    <row r="3933" spans="1:2">
      <c r="A3933" s="1197"/>
      <c r="B3933" s="317"/>
    </row>
    <row r="3934" spans="1:2">
      <c r="A3934" s="1197"/>
      <c r="B3934" s="317"/>
    </row>
    <row r="3935" spans="1:2">
      <c r="A3935" s="1197"/>
      <c r="B3935" s="317"/>
    </row>
    <row r="3936" spans="1:2">
      <c r="A3936" s="1197"/>
      <c r="B3936" s="317"/>
    </row>
    <row r="3937" spans="1:2">
      <c r="A3937" s="1197"/>
      <c r="B3937" s="317"/>
    </row>
    <row r="3938" spans="1:2">
      <c r="A3938" s="1197"/>
      <c r="B3938" s="317"/>
    </row>
    <row r="3939" spans="1:2">
      <c r="A3939" s="1197"/>
      <c r="B3939" s="317"/>
    </row>
    <row r="3940" spans="1:2">
      <c r="A3940" s="1197"/>
      <c r="B3940" s="317"/>
    </row>
    <row r="3941" spans="1:2">
      <c r="A3941" s="1197"/>
      <c r="B3941" s="317"/>
    </row>
    <row r="3942" spans="1:2">
      <c r="A3942" s="1197"/>
      <c r="B3942" s="317"/>
    </row>
    <row r="3943" spans="1:2">
      <c r="A3943" s="1197"/>
      <c r="B3943" s="317"/>
    </row>
    <row r="3944" spans="1:2">
      <c r="A3944" s="1197"/>
      <c r="B3944" s="317"/>
    </row>
    <row r="3945" spans="1:2">
      <c r="A3945" s="1197"/>
      <c r="B3945" s="317"/>
    </row>
    <row r="3946" spans="1:2">
      <c r="A3946" s="1197"/>
      <c r="B3946" s="317"/>
    </row>
    <row r="3947" spans="1:2">
      <c r="A3947" s="1197"/>
      <c r="B3947" s="317"/>
    </row>
    <row r="3948" spans="1:2">
      <c r="A3948" s="1197"/>
      <c r="B3948" s="317"/>
    </row>
    <row r="3949" spans="1:2">
      <c r="A3949" s="1197"/>
      <c r="B3949" s="317"/>
    </row>
    <row r="3950" spans="1:2">
      <c r="A3950" s="1197"/>
      <c r="B3950" s="317"/>
    </row>
    <row r="3951" spans="1:2">
      <c r="A3951" s="1197"/>
      <c r="B3951" s="317"/>
    </row>
    <row r="3952" spans="1:2">
      <c r="A3952" s="1197"/>
      <c r="B3952" s="317"/>
    </row>
    <row r="3953" spans="1:2">
      <c r="A3953" s="1197"/>
      <c r="B3953" s="317"/>
    </row>
    <row r="3954" spans="1:2">
      <c r="A3954" s="1197"/>
      <c r="B3954" s="317"/>
    </row>
    <row r="3955" spans="1:2">
      <c r="A3955" s="1197"/>
      <c r="B3955" s="317"/>
    </row>
    <row r="3956" spans="1:2">
      <c r="A3956" s="1197"/>
      <c r="B3956" s="317"/>
    </row>
    <row r="3957" spans="1:2">
      <c r="A3957" s="1197"/>
      <c r="B3957" s="317"/>
    </row>
    <row r="3958" spans="1:2">
      <c r="A3958" s="1197"/>
      <c r="B3958" s="317"/>
    </row>
    <row r="3959" spans="1:2">
      <c r="A3959" s="1197"/>
      <c r="B3959" s="317"/>
    </row>
    <row r="3960" spans="1:2">
      <c r="A3960" s="1197"/>
      <c r="B3960" s="317"/>
    </row>
    <row r="3961" spans="1:2">
      <c r="A3961" s="1197"/>
      <c r="B3961" s="317"/>
    </row>
    <row r="3962" spans="1:2">
      <c r="A3962" s="1197"/>
      <c r="B3962" s="317"/>
    </row>
    <row r="3963" spans="1:2">
      <c r="A3963" s="1197"/>
      <c r="B3963" s="317"/>
    </row>
    <row r="3964" spans="1:2">
      <c r="A3964" s="1197"/>
      <c r="B3964" s="317"/>
    </row>
    <row r="3965" spans="1:2">
      <c r="A3965" s="1197"/>
      <c r="B3965" s="317"/>
    </row>
    <row r="3966" spans="1:2">
      <c r="A3966" s="1197"/>
      <c r="B3966" s="317"/>
    </row>
    <row r="3967" spans="1:2">
      <c r="A3967" s="1197"/>
      <c r="B3967" s="317"/>
    </row>
    <row r="3968" spans="1:2">
      <c r="A3968" s="1197"/>
      <c r="B3968" s="317"/>
    </row>
    <row r="3969" spans="1:2">
      <c r="A3969" s="1197"/>
      <c r="B3969" s="317"/>
    </row>
    <row r="3970" spans="1:2">
      <c r="A3970" s="1197"/>
      <c r="B3970" s="317"/>
    </row>
    <row r="3971" spans="1:2">
      <c r="A3971" s="1197"/>
      <c r="B3971" s="317"/>
    </row>
    <row r="3972" spans="1:2">
      <c r="A3972" s="1197"/>
      <c r="B3972" s="317"/>
    </row>
    <row r="3973" spans="1:2">
      <c r="A3973" s="1197"/>
      <c r="B3973" s="317"/>
    </row>
    <row r="3974" spans="1:2">
      <c r="A3974" s="1197"/>
      <c r="B3974" s="317"/>
    </row>
    <row r="3975" spans="1:2">
      <c r="A3975" s="1197"/>
      <c r="B3975" s="317"/>
    </row>
    <row r="3976" spans="1:2">
      <c r="A3976" s="1197"/>
      <c r="B3976" s="317"/>
    </row>
    <row r="3977" spans="1:2">
      <c r="A3977" s="1197"/>
      <c r="B3977" s="317"/>
    </row>
    <row r="3978" spans="1:2">
      <c r="A3978" s="1197"/>
      <c r="B3978" s="317"/>
    </row>
    <row r="3979" spans="1:2">
      <c r="A3979" s="1197"/>
      <c r="B3979" s="317"/>
    </row>
    <row r="3980" spans="1:2">
      <c r="A3980" s="1197"/>
      <c r="B3980" s="317"/>
    </row>
    <row r="3981" spans="1:2">
      <c r="A3981" s="1197"/>
      <c r="B3981" s="317"/>
    </row>
    <row r="3982" spans="1:2">
      <c r="A3982" s="1197"/>
      <c r="B3982" s="317"/>
    </row>
    <row r="3983" spans="1:2">
      <c r="A3983" s="1197"/>
      <c r="B3983" s="317"/>
    </row>
    <row r="3984" spans="1:2">
      <c r="A3984" s="1197"/>
      <c r="B3984" s="317"/>
    </row>
    <row r="3985" spans="1:2">
      <c r="A3985" s="1197"/>
      <c r="B3985" s="317"/>
    </row>
    <row r="3986" spans="1:2">
      <c r="A3986" s="1197"/>
      <c r="B3986" s="317"/>
    </row>
    <row r="3987" spans="1:2">
      <c r="A3987" s="1197"/>
      <c r="B3987" s="317"/>
    </row>
    <row r="3988" spans="1:2">
      <c r="A3988" s="1197"/>
      <c r="B3988" s="317"/>
    </row>
    <row r="3989" spans="1:2">
      <c r="A3989" s="1197"/>
      <c r="B3989" s="317"/>
    </row>
    <row r="3990" spans="1:2">
      <c r="A3990" s="1197"/>
      <c r="B3990" s="317"/>
    </row>
    <row r="3991" spans="1:2">
      <c r="A3991" s="1197"/>
      <c r="B3991" s="317"/>
    </row>
    <row r="3992" spans="1:2">
      <c r="A3992" s="1197"/>
      <c r="B3992" s="317"/>
    </row>
    <row r="3993" spans="1:2">
      <c r="A3993" s="1197"/>
      <c r="B3993" s="317"/>
    </row>
    <row r="3994" spans="1:2">
      <c r="A3994" s="1197"/>
      <c r="B3994" s="317"/>
    </row>
    <row r="3995" spans="1:2">
      <c r="A3995" s="1197"/>
      <c r="B3995" s="317"/>
    </row>
    <row r="3996" spans="1:2">
      <c r="A3996" s="1197"/>
      <c r="B3996" s="317"/>
    </row>
    <row r="3997" spans="1:2">
      <c r="A3997" s="1197"/>
      <c r="B3997" s="317"/>
    </row>
    <row r="3998" spans="1:2">
      <c r="A3998" s="1197"/>
      <c r="B3998" s="317"/>
    </row>
    <row r="3999" spans="1:2">
      <c r="A3999" s="1197"/>
      <c r="B3999" s="317"/>
    </row>
    <row r="4000" spans="1:2">
      <c r="A4000" s="1197"/>
      <c r="B4000" s="317"/>
    </row>
    <row r="4001" spans="1:2">
      <c r="A4001" s="1197"/>
      <c r="B4001" s="317"/>
    </row>
    <row r="4002" spans="1:2">
      <c r="A4002" s="1197"/>
      <c r="B4002" s="317"/>
    </row>
    <row r="4003" spans="1:2">
      <c r="A4003" s="1197"/>
      <c r="B4003" s="317"/>
    </row>
    <row r="4004" spans="1:2">
      <c r="A4004" s="1197"/>
      <c r="B4004" s="317"/>
    </row>
    <row r="4005" spans="1:2">
      <c r="A4005" s="1197"/>
      <c r="B4005" s="317"/>
    </row>
    <row r="4006" spans="1:2">
      <c r="A4006" s="1197"/>
      <c r="B4006" s="317"/>
    </row>
    <row r="4007" spans="1:2">
      <c r="A4007" s="1197"/>
      <c r="B4007" s="317"/>
    </row>
    <row r="4008" spans="1:2">
      <c r="A4008" s="1197"/>
      <c r="B4008" s="317"/>
    </row>
    <row r="4009" spans="1:2">
      <c r="A4009" s="1197"/>
      <c r="B4009" s="317"/>
    </row>
    <row r="4010" spans="1:2">
      <c r="A4010" s="1197"/>
      <c r="B4010" s="317"/>
    </row>
    <row r="4011" spans="1:2">
      <c r="A4011" s="1197"/>
      <c r="B4011" s="317"/>
    </row>
    <row r="4012" spans="1:2">
      <c r="A4012" s="1197"/>
      <c r="B4012" s="317"/>
    </row>
    <row r="4013" spans="1:2">
      <c r="A4013" s="1197"/>
      <c r="B4013" s="317"/>
    </row>
    <row r="4014" spans="1:2">
      <c r="A4014" s="1197"/>
      <c r="B4014" s="317"/>
    </row>
    <row r="4015" spans="1:2">
      <c r="A4015" s="1197"/>
      <c r="B4015" s="317"/>
    </row>
    <row r="4016" spans="1:2">
      <c r="A4016" s="1197"/>
      <c r="B4016" s="317"/>
    </row>
    <row r="4017" spans="1:2">
      <c r="A4017" s="1197"/>
      <c r="B4017" s="317"/>
    </row>
    <row r="4018" spans="1:2">
      <c r="A4018" s="1197"/>
      <c r="B4018" s="317"/>
    </row>
    <row r="4019" spans="1:2">
      <c r="A4019" s="1197"/>
      <c r="B4019" s="317"/>
    </row>
    <row r="4020" spans="1:2">
      <c r="A4020" s="1197"/>
      <c r="B4020" s="317"/>
    </row>
    <row r="4021" spans="1:2">
      <c r="A4021" s="1197"/>
      <c r="B4021" s="317"/>
    </row>
    <row r="4022" spans="1:2">
      <c r="A4022" s="1197"/>
      <c r="B4022" s="317"/>
    </row>
    <row r="4023" spans="1:2">
      <c r="A4023" s="1197"/>
      <c r="B4023" s="317"/>
    </row>
    <row r="4024" spans="1:2">
      <c r="A4024" s="1197"/>
      <c r="B4024" s="317"/>
    </row>
    <row r="4025" spans="1:2">
      <c r="A4025" s="1197"/>
      <c r="B4025" s="317"/>
    </row>
    <row r="4026" spans="1:2">
      <c r="A4026" s="1197"/>
      <c r="B4026" s="317"/>
    </row>
    <row r="4027" spans="1:2">
      <c r="A4027" s="1197"/>
      <c r="B4027" s="317"/>
    </row>
    <row r="4028" spans="1:2">
      <c r="A4028" s="1197"/>
      <c r="B4028" s="317"/>
    </row>
    <row r="4029" spans="1:2">
      <c r="A4029" s="1197"/>
      <c r="B4029" s="317"/>
    </row>
    <row r="4030" spans="1:2">
      <c r="A4030" s="1197"/>
      <c r="B4030" s="317"/>
    </row>
    <row r="4031" spans="1:2">
      <c r="A4031" s="1197"/>
      <c r="B4031" s="317"/>
    </row>
    <row r="4032" spans="1:2">
      <c r="A4032" s="1197"/>
      <c r="B4032" s="317"/>
    </row>
    <row r="4033" spans="1:2">
      <c r="A4033" s="1197"/>
      <c r="B4033" s="317"/>
    </row>
    <row r="4034" spans="1:2">
      <c r="A4034" s="1197"/>
      <c r="B4034" s="317"/>
    </row>
    <row r="4035" spans="1:2">
      <c r="A4035" s="1197"/>
      <c r="B4035" s="317"/>
    </row>
    <row r="4036" spans="1:2">
      <c r="A4036" s="1197"/>
      <c r="B4036" s="317"/>
    </row>
    <row r="4037" spans="1:2">
      <c r="A4037" s="1197"/>
      <c r="B4037" s="317"/>
    </row>
    <row r="4038" spans="1:2">
      <c r="A4038" s="1197"/>
      <c r="B4038" s="317"/>
    </row>
    <row r="4039" spans="1:2">
      <c r="A4039" s="1197"/>
      <c r="B4039" s="317"/>
    </row>
    <row r="4040" spans="1:2">
      <c r="A4040" s="1197"/>
      <c r="B4040" s="317"/>
    </row>
    <row r="4041" spans="1:2">
      <c r="A4041" s="1197"/>
      <c r="B4041" s="317"/>
    </row>
    <row r="4042" spans="1:2">
      <c r="A4042" s="1197"/>
      <c r="B4042" s="317"/>
    </row>
    <row r="4043" spans="1:2">
      <c r="A4043" s="1197"/>
      <c r="B4043" s="317"/>
    </row>
    <row r="4044" spans="1:2">
      <c r="A4044" s="1197"/>
      <c r="B4044" s="317"/>
    </row>
    <row r="4045" spans="1:2">
      <c r="A4045" s="1197"/>
      <c r="B4045" s="317"/>
    </row>
    <row r="4046" spans="1:2">
      <c r="A4046" s="1197"/>
      <c r="B4046" s="317"/>
    </row>
    <row r="4047" spans="1:2">
      <c r="A4047" s="1197"/>
      <c r="B4047" s="317"/>
    </row>
    <row r="4048" spans="1:2">
      <c r="A4048" s="1197"/>
      <c r="B4048" s="317"/>
    </row>
    <row r="4049" spans="1:2">
      <c r="A4049" s="1197"/>
      <c r="B4049" s="317"/>
    </row>
    <row r="4050" spans="1:2">
      <c r="A4050" s="1197"/>
      <c r="B4050" s="317"/>
    </row>
    <row r="4051" spans="1:2">
      <c r="A4051" s="1197"/>
      <c r="B4051" s="317"/>
    </row>
    <row r="4052" spans="1:2">
      <c r="A4052" s="1197"/>
      <c r="B4052" s="317"/>
    </row>
    <row r="4053" spans="1:2">
      <c r="A4053" s="1197"/>
      <c r="B4053" s="317"/>
    </row>
    <row r="4054" spans="1:2">
      <c r="A4054" s="1197"/>
      <c r="B4054" s="317"/>
    </row>
    <row r="4055" spans="1:2">
      <c r="A4055" s="1197"/>
      <c r="B4055" s="317"/>
    </row>
    <row r="4056" spans="1:2">
      <c r="A4056" s="1197"/>
      <c r="B4056" s="317"/>
    </row>
    <row r="4057" spans="1:2">
      <c r="A4057" s="1197"/>
      <c r="B4057" s="317"/>
    </row>
    <row r="4058" spans="1:2">
      <c r="A4058" s="1197"/>
      <c r="B4058" s="317"/>
    </row>
    <row r="4059" spans="1:2">
      <c r="A4059" s="1197"/>
      <c r="B4059" s="317"/>
    </row>
    <row r="4060" spans="1:2">
      <c r="A4060" s="1197"/>
      <c r="B4060" s="317"/>
    </row>
    <row r="4061" spans="1:2">
      <c r="A4061" s="1197"/>
      <c r="B4061" s="317"/>
    </row>
    <row r="4062" spans="1:2">
      <c r="A4062" s="1197"/>
      <c r="B4062" s="317"/>
    </row>
    <row r="4063" spans="1:2">
      <c r="A4063" s="1197"/>
      <c r="B4063" s="317"/>
    </row>
    <row r="4064" spans="1:2">
      <c r="A4064" s="1197"/>
      <c r="B4064" s="317"/>
    </row>
    <row r="4065" spans="1:2">
      <c r="A4065" s="1197"/>
      <c r="B4065" s="317"/>
    </row>
    <row r="4066" spans="1:2">
      <c r="A4066" s="1197"/>
      <c r="B4066" s="317"/>
    </row>
    <row r="4067" spans="1:2">
      <c r="A4067" s="1197"/>
      <c r="B4067" s="317"/>
    </row>
    <row r="4068" spans="1:2">
      <c r="A4068" s="1197"/>
      <c r="B4068" s="317"/>
    </row>
    <row r="4069" spans="1:2">
      <c r="A4069" s="1197"/>
      <c r="B4069" s="317"/>
    </row>
    <row r="4070" spans="1:2">
      <c r="A4070" s="1197"/>
      <c r="B4070" s="317"/>
    </row>
    <row r="4071" spans="1:2">
      <c r="A4071" s="1197"/>
      <c r="B4071" s="317"/>
    </row>
    <row r="4072" spans="1:2">
      <c r="A4072" s="1197"/>
      <c r="B4072" s="317"/>
    </row>
    <row r="4073" spans="1:2">
      <c r="A4073" s="1197"/>
      <c r="B4073" s="317"/>
    </row>
    <row r="4074" spans="1:2">
      <c r="A4074" s="1197"/>
      <c r="B4074" s="317"/>
    </row>
    <row r="4075" spans="1:2">
      <c r="A4075" s="1197"/>
      <c r="B4075" s="317"/>
    </row>
    <row r="4076" spans="1:2">
      <c r="A4076" s="1197"/>
      <c r="B4076" s="317"/>
    </row>
    <row r="4077" spans="1:2">
      <c r="A4077" s="1197"/>
      <c r="B4077" s="317"/>
    </row>
    <row r="4078" spans="1:2">
      <c r="A4078" s="1197"/>
      <c r="B4078" s="317"/>
    </row>
    <row r="4079" spans="1:2">
      <c r="A4079" s="1197"/>
      <c r="B4079" s="317"/>
    </row>
    <row r="4080" spans="1:2">
      <c r="A4080" s="1197"/>
      <c r="B4080" s="317"/>
    </row>
    <row r="4081" spans="1:2">
      <c r="A4081" s="1197"/>
      <c r="B4081" s="317"/>
    </row>
    <row r="4082" spans="1:2">
      <c r="A4082" s="1197"/>
      <c r="B4082" s="317"/>
    </row>
    <row r="4083" spans="1:2">
      <c r="A4083" s="1197"/>
      <c r="B4083" s="317"/>
    </row>
    <row r="4084" spans="1:2">
      <c r="A4084" s="1197"/>
      <c r="B4084" s="317"/>
    </row>
    <row r="4085" spans="1:2">
      <c r="A4085" s="1197"/>
      <c r="B4085" s="317"/>
    </row>
    <row r="4086" spans="1:2">
      <c r="A4086" s="1197"/>
      <c r="B4086" s="317"/>
    </row>
    <row r="4087" spans="1:2">
      <c r="A4087" s="1197"/>
      <c r="B4087" s="317"/>
    </row>
    <row r="4088" spans="1:2">
      <c r="A4088" s="1197"/>
      <c r="B4088" s="317"/>
    </row>
    <row r="4089" spans="1:2">
      <c r="A4089" s="1197"/>
      <c r="B4089" s="317"/>
    </row>
    <row r="4090" spans="1:2">
      <c r="A4090" s="1197"/>
      <c r="B4090" s="317"/>
    </row>
    <row r="4091" spans="1:2">
      <c r="A4091" s="1197"/>
      <c r="B4091" s="317"/>
    </row>
    <row r="4092" spans="1:2">
      <c r="A4092" s="1197"/>
      <c r="B4092" s="317"/>
    </row>
    <row r="4093" spans="1:2">
      <c r="A4093" s="1197"/>
      <c r="B4093" s="317"/>
    </row>
    <row r="4094" spans="1:2">
      <c r="A4094" s="1197"/>
      <c r="B4094" s="317"/>
    </row>
    <row r="4095" spans="1:2">
      <c r="A4095" s="1197"/>
      <c r="B4095" s="317"/>
    </row>
    <row r="4096" spans="1:2">
      <c r="A4096" s="1197"/>
      <c r="B4096" s="317"/>
    </row>
    <row r="4097" spans="1:2">
      <c r="A4097" s="1197"/>
      <c r="B4097" s="317"/>
    </row>
    <row r="4098" spans="1:2">
      <c r="A4098" s="1197"/>
      <c r="B4098" s="317"/>
    </row>
    <row r="4099" spans="1:2">
      <c r="A4099" s="1197"/>
      <c r="B4099" s="317"/>
    </row>
    <row r="4100" spans="1:2">
      <c r="A4100" s="1197"/>
      <c r="B4100" s="317"/>
    </row>
    <row r="4101" spans="1:2">
      <c r="A4101" s="1197"/>
      <c r="B4101" s="317"/>
    </row>
    <row r="4102" spans="1:2">
      <c r="A4102" s="1197"/>
      <c r="B4102" s="317"/>
    </row>
    <row r="4103" spans="1:2">
      <c r="A4103" s="1197"/>
      <c r="B4103" s="317"/>
    </row>
    <row r="4104" spans="1:2">
      <c r="A4104" s="1197"/>
      <c r="B4104" s="317"/>
    </row>
    <row r="4105" spans="1:2">
      <c r="A4105" s="1197"/>
      <c r="B4105" s="317"/>
    </row>
    <row r="4106" spans="1:2">
      <c r="A4106" s="1197"/>
      <c r="B4106" s="317"/>
    </row>
    <row r="4107" spans="1:2">
      <c r="A4107" s="1197"/>
      <c r="B4107" s="317"/>
    </row>
    <row r="4108" spans="1:2">
      <c r="A4108" s="1197"/>
      <c r="B4108" s="317"/>
    </row>
    <row r="4109" spans="1:2">
      <c r="A4109" s="1197"/>
      <c r="B4109" s="317"/>
    </row>
    <row r="4110" spans="1:2">
      <c r="A4110" s="1197"/>
      <c r="B4110" s="317"/>
    </row>
    <row r="4111" spans="1:2">
      <c r="A4111" s="1197"/>
      <c r="B4111" s="317"/>
    </row>
    <row r="4112" spans="1:2">
      <c r="A4112" s="1197"/>
      <c r="B4112" s="317"/>
    </row>
    <row r="4113" spans="1:2">
      <c r="A4113" s="1197"/>
      <c r="B4113" s="317"/>
    </row>
    <row r="4114" spans="1:2">
      <c r="A4114" s="1197"/>
      <c r="B4114" s="317"/>
    </row>
    <row r="4115" spans="1:2">
      <c r="A4115" s="1197"/>
      <c r="B4115" s="317"/>
    </row>
    <row r="4116" spans="1:2">
      <c r="A4116" s="1197"/>
      <c r="B4116" s="317"/>
    </row>
    <row r="4117" spans="1:2">
      <c r="A4117" s="1197"/>
      <c r="B4117" s="317"/>
    </row>
    <row r="4118" spans="1:2">
      <c r="A4118" s="1197"/>
      <c r="B4118" s="317"/>
    </row>
    <row r="4119" spans="1:2">
      <c r="A4119" s="1197"/>
      <c r="B4119" s="317"/>
    </row>
    <row r="4120" spans="1:2">
      <c r="A4120" s="1197"/>
      <c r="B4120" s="317"/>
    </row>
    <row r="4121" spans="1:2">
      <c r="A4121" s="1197"/>
      <c r="B4121" s="317"/>
    </row>
    <row r="4122" spans="1:2">
      <c r="A4122" s="1197"/>
      <c r="B4122" s="317"/>
    </row>
    <row r="4123" spans="1:2">
      <c r="A4123" s="1197"/>
      <c r="B4123" s="317"/>
    </row>
    <row r="4124" spans="1:2">
      <c r="A4124" s="1197"/>
      <c r="B4124" s="317"/>
    </row>
    <row r="4125" spans="1:2">
      <c r="A4125" s="1197"/>
      <c r="B4125" s="317"/>
    </row>
    <row r="4126" spans="1:2">
      <c r="A4126" s="1197"/>
      <c r="B4126" s="317"/>
    </row>
    <row r="4127" spans="1:2">
      <c r="A4127" s="1197"/>
      <c r="B4127" s="317"/>
    </row>
    <row r="4128" spans="1:2">
      <c r="A4128" s="1197"/>
      <c r="B4128" s="317"/>
    </row>
    <row r="4129" spans="1:2">
      <c r="A4129" s="1197"/>
      <c r="B4129" s="317"/>
    </row>
    <row r="4130" spans="1:2">
      <c r="A4130" s="1197"/>
      <c r="B4130" s="317"/>
    </row>
    <row r="4131" spans="1:2">
      <c r="A4131" s="1197"/>
      <c r="B4131" s="317"/>
    </row>
    <row r="4132" spans="1:2">
      <c r="A4132" s="1197"/>
      <c r="B4132" s="317"/>
    </row>
    <row r="4133" spans="1:2">
      <c r="A4133" s="1197"/>
      <c r="B4133" s="317"/>
    </row>
    <row r="4134" spans="1:2">
      <c r="A4134" s="1197"/>
      <c r="B4134" s="317"/>
    </row>
    <row r="4135" spans="1:2">
      <c r="A4135" s="1197"/>
      <c r="B4135" s="317"/>
    </row>
    <row r="4136" spans="1:2">
      <c r="A4136" s="1197"/>
      <c r="B4136" s="317"/>
    </row>
    <row r="4137" spans="1:2">
      <c r="A4137" s="1197"/>
      <c r="B4137" s="317"/>
    </row>
    <row r="4138" spans="1:2">
      <c r="A4138" s="1197"/>
      <c r="B4138" s="317"/>
    </row>
    <row r="4139" spans="1:2">
      <c r="A4139" s="1197"/>
      <c r="B4139" s="317"/>
    </row>
    <row r="4140" spans="1:2">
      <c r="A4140" s="1197"/>
      <c r="B4140" s="317"/>
    </row>
    <row r="4141" spans="1:2">
      <c r="A4141" s="1197"/>
      <c r="B4141" s="317"/>
    </row>
    <row r="4142" spans="1:2">
      <c r="A4142" s="1197"/>
      <c r="B4142" s="317"/>
    </row>
    <row r="4143" spans="1:2">
      <c r="A4143" s="1197"/>
      <c r="B4143" s="317"/>
    </row>
    <row r="4144" spans="1:2">
      <c r="A4144" s="1197"/>
      <c r="B4144" s="317"/>
    </row>
    <row r="4145" spans="1:2">
      <c r="A4145" s="1197"/>
      <c r="B4145" s="317"/>
    </row>
    <row r="4146" spans="1:2">
      <c r="A4146" s="1197"/>
      <c r="B4146" s="317"/>
    </row>
    <row r="4147" spans="1:2">
      <c r="A4147" s="1197"/>
      <c r="B4147" s="317"/>
    </row>
    <row r="4148" spans="1:2">
      <c r="A4148" s="1197"/>
      <c r="B4148" s="317"/>
    </row>
    <row r="4149" spans="1:2">
      <c r="A4149" s="1197"/>
      <c r="B4149" s="317"/>
    </row>
    <row r="4150" spans="1:2">
      <c r="A4150" s="1197"/>
      <c r="B4150" s="317"/>
    </row>
    <row r="4151" spans="1:2">
      <c r="A4151" s="1197"/>
      <c r="B4151" s="317"/>
    </row>
    <row r="4152" spans="1:2">
      <c r="A4152" s="1197"/>
      <c r="B4152" s="317"/>
    </row>
    <row r="4153" spans="1:2">
      <c r="A4153" s="1197"/>
      <c r="B4153" s="317"/>
    </row>
    <row r="4154" spans="1:2">
      <c r="A4154" s="1197"/>
      <c r="B4154" s="317"/>
    </row>
    <row r="4155" spans="1:2">
      <c r="A4155" s="1197"/>
      <c r="B4155" s="317"/>
    </row>
    <row r="4156" spans="1:2">
      <c r="A4156" s="1197"/>
      <c r="B4156" s="317"/>
    </row>
    <row r="4157" spans="1:2">
      <c r="A4157" s="1197"/>
      <c r="B4157" s="317"/>
    </row>
    <row r="4158" spans="1:2">
      <c r="A4158" s="1197"/>
      <c r="B4158" s="317"/>
    </row>
    <row r="4159" spans="1:2">
      <c r="A4159" s="1197"/>
      <c r="B4159" s="317"/>
    </row>
    <row r="4160" spans="1:2">
      <c r="A4160" s="1197"/>
      <c r="B4160" s="317"/>
    </row>
    <row r="4161" spans="1:2">
      <c r="A4161" s="1197"/>
      <c r="B4161" s="317"/>
    </row>
    <row r="4162" spans="1:2">
      <c r="A4162" s="1197"/>
      <c r="B4162" s="317"/>
    </row>
    <row r="4163" spans="1:2">
      <c r="A4163" s="1197"/>
      <c r="B4163" s="317"/>
    </row>
    <row r="4164" spans="1:2">
      <c r="A4164" s="1197"/>
      <c r="B4164" s="317"/>
    </row>
    <row r="4165" spans="1:2">
      <c r="A4165" s="1197"/>
      <c r="B4165" s="317"/>
    </row>
    <row r="4166" spans="1:2">
      <c r="A4166" s="1197"/>
      <c r="B4166" s="317"/>
    </row>
    <row r="4167" spans="1:2">
      <c r="A4167" s="1197"/>
      <c r="B4167" s="317"/>
    </row>
    <row r="4168" spans="1:2">
      <c r="A4168" s="1197"/>
      <c r="B4168" s="317"/>
    </row>
    <row r="4169" spans="1:2">
      <c r="A4169" s="1197"/>
      <c r="B4169" s="317"/>
    </row>
    <row r="4170" spans="1:2">
      <c r="A4170" s="1197"/>
      <c r="B4170" s="317"/>
    </row>
    <row r="4171" spans="1:2">
      <c r="A4171" s="1197"/>
      <c r="B4171" s="317"/>
    </row>
    <row r="4172" spans="1:2">
      <c r="A4172" s="1197"/>
      <c r="B4172" s="317"/>
    </row>
    <row r="4173" spans="1:2">
      <c r="A4173" s="1197"/>
      <c r="B4173" s="317"/>
    </row>
    <row r="4174" spans="1:2">
      <c r="A4174" s="1197"/>
      <c r="B4174" s="317"/>
    </row>
    <row r="4175" spans="1:2">
      <c r="A4175" s="1197"/>
      <c r="B4175" s="317"/>
    </row>
    <row r="4176" spans="1:2">
      <c r="A4176" s="1197"/>
      <c r="B4176" s="317"/>
    </row>
    <row r="4177" spans="1:2">
      <c r="A4177" s="1197"/>
      <c r="B4177" s="317"/>
    </row>
    <row r="4178" spans="1:2">
      <c r="A4178" s="1197"/>
      <c r="B4178" s="317"/>
    </row>
    <row r="4179" spans="1:2">
      <c r="A4179" s="1197"/>
      <c r="B4179" s="317"/>
    </row>
    <row r="4180" spans="1:2">
      <c r="A4180" s="1197"/>
      <c r="B4180" s="317"/>
    </row>
    <row r="4181" spans="1:2">
      <c r="A4181" s="1197"/>
      <c r="B4181" s="317"/>
    </row>
    <row r="4182" spans="1:2">
      <c r="A4182" s="1197"/>
      <c r="B4182" s="317"/>
    </row>
    <row r="4183" spans="1:2">
      <c r="A4183" s="1197"/>
      <c r="B4183" s="317"/>
    </row>
    <row r="4184" spans="1:2">
      <c r="A4184" s="1197"/>
      <c r="B4184" s="317"/>
    </row>
    <row r="4185" spans="1:2">
      <c r="A4185" s="1197"/>
      <c r="B4185" s="317"/>
    </row>
    <row r="4186" spans="1:2">
      <c r="A4186" s="1197"/>
      <c r="B4186" s="317"/>
    </row>
    <row r="4187" spans="1:2">
      <c r="A4187" s="1197"/>
      <c r="B4187" s="317"/>
    </row>
    <row r="4188" spans="1:2">
      <c r="A4188" s="1197"/>
      <c r="B4188" s="317"/>
    </row>
    <row r="4189" spans="1:2">
      <c r="A4189" s="1197"/>
      <c r="B4189" s="317"/>
    </row>
    <row r="4190" spans="1:2">
      <c r="A4190" s="1197"/>
      <c r="B4190" s="317"/>
    </row>
    <row r="4191" spans="1:2">
      <c r="A4191" s="1197"/>
      <c r="B4191" s="317"/>
    </row>
    <row r="4192" spans="1:2">
      <c r="A4192" s="1197"/>
      <c r="B4192" s="317"/>
    </row>
    <row r="4193" spans="1:2">
      <c r="A4193" s="1197"/>
      <c r="B4193" s="317"/>
    </row>
    <row r="4194" spans="1:2">
      <c r="A4194" s="1197"/>
      <c r="B4194" s="317"/>
    </row>
    <row r="4195" spans="1:2">
      <c r="A4195" s="1197"/>
      <c r="B4195" s="317"/>
    </row>
    <row r="4196" spans="1:2">
      <c r="A4196" s="1197"/>
      <c r="B4196" s="317"/>
    </row>
    <row r="4197" spans="1:2">
      <c r="A4197" s="1197"/>
      <c r="B4197" s="317"/>
    </row>
    <row r="4198" spans="1:2">
      <c r="A4198" s="1197"/>
      <c r="B4198" s="317"/>
    </row>
    <row r="4199" spans="1:2">
      <c r="A4199" s="1197"/>
      <c r="B4199" s="317"/>
    </row>
    <row r="4200" spans="1:2">
      <c r="A4200" s="1197"/>
      <c r="B4200" s="317"/>
    </row>
    <row r="4201" spans="1:2">
      <c r="A4201" s="1197"/>
      <c r="B4201" s="317"/>
    </row>
  </sheetData>
  <mergeCells count="6">
    <mergeCell ref="O37:Q37"/>
    <mergeCell ref="A1:Z1"/>
    <mergeCell ref="A2:Z2"/>
    <mergeCell ref="A3:Z3"/>
    <mergeCell ref="B5:L5"/>
    <mergeCell ref="N5:W5"/>
  </mergeCells>
  <phoneticPr fontId="0" type="noConversion"/>
  <printOptions horizontalCentered="1"/>
  <pageMargins left="0.6692913385826772" right="0.39370078740157483" top="0.98425196850393704" bottom="0.98425196850393704" header="0.51181102362204722" footer="0.51181102362204722"/>
  <pageSetup scale="60" orientation="landscape" r:id="rId1"/>
  <headerFooter>
    <oddHeader>&amp;C FINANCIAL STATEMENTS: MUSINA LOCAL MUNICIPALITY</oddHeader>
    <oddFooter>&amp;RPage &amp;P</oddFooter>
  </headerFooter>
</worksheet>
</file>

<file path=xl/worksheets/sheet23.xml><?xml version="1.0" encoding="utf-8"?>
<worksheet xmlns="http://schemas.openxmlformats.org/spreadsheetml/2006/main" xmlns:r="http://schemas.openxmlformats.org/officeDocument/2006/relationships">
  <sheetPr>
    <tabColor rgb="FF66FF66"/>
    <pageSetUpPr fitToPage="1"/>
  </sheetPr>
  <dimension ref="A1:R4201"/>
  <sheetViews>
    <sheetView view="pageBreakPreview" zoomScaleSheetLayoutView="100" workbookViewId="0">
      <selection activeCell="J67" sqref="J67"/>
    </sheetView>
  </sheetViews>
  <sheetFormatPr defaultRowHeight="12.75"/>
  <cols>
    <col min="1" max="1" width="19.28515625" style="577" customWidth="1"/>
    <col min="2" max="2" width="13.7109375" style="786" bestFit="1" customWidth="1"/>
    <col min="3" max="3" width="11.28515625" style="786" bestFit="1" customWidth="1"/>
    <col min="4" max="4" width="13.7109375" style="786" bestFit="1" customWidth="1"/>
    <col min="5" max="6" width="10" style="786" bestFit="1" customWidth="1"/>
    <col min="7" max="7" width="13.7109375" style="786" bestFit="1" customWidth="1"/>
    <col min="8" max="8" width="1" style="786" customWidth="1"/>
    <col min="9" max="9" width="13.7109375" style="786" bestFit="1" customWidth="1"/>
    <col min="10" max="10" width="14" style="786" bestFit="1" customWidth="1"/>
    <col min="11" max="11" width="14" style="786" customWidth="1"/>
    <col min="12" max="12" width="8.7109375" style="786" bestFit="1" customWidth="1"/>
    <col min="13" max="13" width="13.7109375" style="786" bestFit="1" customWidth="1"/>
    <col min="14" max="14" width="0.85546875" style="786" customWidth="1"/>
    <col min="15" max="15" width="12.28515625" style="786" bestFit="1" customWidth="1"/>
    <col min="16" max="16" width="14.140625" style="577" bestFit="1" customWidth="1"/>
    <col min="17" max="17" width="11.7109375" style="772" bestFit="1" customWidth="1"/>
    <col min="18" max="18" width="11.85546875" style="772" bestFit="1" customWidth="1"/>
    <col min="19" max="16384" width="9.140625" style="577"/>
  </cols>
  <sheetData>
    <row r="1" spans="1:17">
      <c r="A1" s="1759" t="s">
        <v>1712</v>
      </c>
      <c r="B1" s="1759"/>
      <c r="C1" s="1759"/>
      <c r="D1" s="1759"/>
      <c r="E1" s="1759"/>
      <c r="F1" s="1759"/>
      <c r="G1" s="1759"/>
      <c r="H1" s="1759"/>
      <c r="I1" s="1759"/>
      <c r="J1" s="1759"/>
      <c r="K1" s="1759"/>
      <c r="L1" s="1759"/>
      <c r="M1" s="1759"/>
      <c r="N1" s="1759"/>
      <c r="O1" s="1759"/>
      <c r="P1" s="1759"/>
    </row>
    <row r="2" spans="1:17">
      <c r="A2" s="1759" t="s">
        <v>1690</v>
      </c>
      <c r="B2" s="1759"/>
      <c r="C2" s="1759"/>
      <c r="D2" s="1759"/>
      <c r="E2" s="1759"/>
      <c r="F2" s="1759"/>
      <c r="G2" s="1759"/>
      <c r="H2" s="1759"/>
      <c r="I2" s="1759"/>
      <c r="J2" s="1759"/>
      <c r="K2" s="1759"/>
      <c r="L2" s="1759"/>
      <c r="M2" s="1759"/>
      <c r="N2" s="1759"/>
      <c r="O2" s="1759"/>
      <c r="P2" s="1759"/>
    </row>
    <row r="3" spans="1:17">
      <c r="A3" s="1759" t="s">
        <v>2101</v>
      </c>
      <c r="B3" s="1759"/>
      <c r="C3" s="1759"/>
      <c r="D3" s="1759"/>
      <c r="E3" s="1759"/>
      <c r="F3" s="1759"/>
      <c r="G3" s="1759"/>
      <c r="H3" s="1759"/>
      <c r="I3" s="1759"/>
      <c r="J3" s="1759"/>
      <c r="K3" s="1759"/>
      <c r="L3" s="1759"/>
      <c r="M3" s="1759"/>
      <c r="N3" s="1759"/>
      <c r="O3" s="1759"/>
      <c r="P3" s="1759"/>
    </row>
    <row r="4" spans="1:17">
      <c r="A4" s="773"/>
      <c r="B4" s="681"/>
      <c r="C4" s="681"/>
      <c r="D4" s="681"/>
      <c r="E4" s="681"/>
      <c r="F4" s="681"/>
      <c r="G4" s="681"/>
      <c r="H4" s="681"/>
      <c r="I4" s="681"/>
      <c r="J4" s="681"/>
      <c r="K4" s="681"/>
      <c r="L4" s="681"/>
      <c r="M4" s="681"/>
      <c r="N4" s="681"/>
      <c r="O4" s="681"/>
      <c r="P4" s="774"/>
    </row>
    <row r="5" spans="1:17" ht="14.25" customHeight="1">
      <c r="A5" s="298"/>
      <c r="B5" s="1760" t="s">
        <v>505</v>
      </c>
      <c r="C5" s="1761"/>
      <c r="D5" s="1761"/>
      <c r="E5" s="1761"/>
      <c r="F5" s="1761"/>
      <c r="G5" s="1762"/>
      <c r="H5" s="39"/>
      <c r="I5" s="1760" t="s">
        <v>506</v>
      </c>
      <c r="J5" s="1761"/>
      <c r="K5" s="1761"/>
      <c r="L5" s="1761"/>
      <c r="M5" s="1762"/>
      <c r="N5" s="39"/>
      <c r="O5" s="299"/>
      <c r="P5" s="787"/>
      <c r="Q5" s="788"/>
    </row>
    <row r="6" spans="1:17" ht="38.25">
      <c r="A6" s="43"/>
      <c r="B6" s="40" t="s">
        <v>2104</v>
      </c>
      <c r="C6" s="40" t="s">
        <v>1191</v>
      </c>
      <c r="D6" s="40" t="s">
        <v>2031</v>
      </c>
      <c r="E6" s="40" t="s">
        <v>626</v>
      </c>
      <c r="F6" s="40" t="s">
        <v>357</v>
      </c>
      <c r="G6" s="40" t="s">
        <v>2105</v>
      </c>
      <c r="H6" s="38"/>
      <c r="I6" s="40" t="s">
        <v>2104</v>
      </c>
      <c r="J6" s="40" t="s">
        <v>627</v>
      </c>
      <c r="K6" s="40" t="s">
        <v>2035</v>
      </c>
      <c r="L6" s="36" t="s">
        <v>628</v>
      </c>
      <c r="M6" s="40" t="s">
        <v>2105</v>
      </c>
      <c r="N6" s="38"/>
      <c r="O6" s="40" t="s">
        <v>1189</v>
      </c>
      <c r="P6" s="40" t="s">
        <v>2100</v>
      </c>
      <c r="Q6" s="788"/>
    </row>
    <row r="7" spans="1:17">
      <c r="A7" s="44"/>
      <c r="B7" s="39" t="s">
        <v>1314</v>
      </c>
      <c r="C7" s="39" t="s">
        <v>1314</v>
      </c>
      <c r="D7" s="39"/>
      <c r="E7" s="39" t="s">
        <v>1314</v>
      </c>
      <c r="F7" s="39" t="s">
        <v>1314</v>
      </c>
      <c r="G7" s="39" t="s">
        <v>1314</v>
      </c>
      <c r="H7" s="39"/>
      <c r="I7" s="39" t="s">
        <v>1314</v>
      </c>
      <c r="J7" s="39" t="s">
        <v>1314</v>
      </c>
      <c r="K7" s="39"/>
      <c r="L7" s="38" t="s">
        <v>1314</v>
      </c>
      <c r="M7" s="39" t="s">
        <v>1314</v>
      </c>
      <c r="N7" s="39"/>
      <c r="O7" s="39" t="s">
        <v>1314</v>
      </c>
      <c r="P7" s="45" t="s">
        <v>1314</v>
      </c>
      <c r="Q7" s="70"/>
    </row>
    <row r="8" spans="1:17" hidden="1">
      <c r="A8" s="43" t="s">
        <v>511</v>
      </c>
      <c r="B8" s="41">
        <f>SUM(B9:B19)</f>
        <v>0</v>
      </c>
      <c r="C8" s="41">
        <f>SUM(C9:C19)</f>
        <v>0</v>
      </c>
      <c r="D8" s="41"/>
      <c r="E8" s="41">
        <f>SUM(E9:E19)</f>
        <v>0</v>
      </c>
      <c r="F8" s="41">
        <f>SUM(F9:F19)</f>
        <v>0</v>
      </c>
      <c r="G8" s="41">
        <f>SUM(G9:G19)</f>
        <v>0</v>
      </c>
      <c r="H8" s="41"/>
      <c r="I8" s="41">
        <f>SUM(I9:I19)</f>
        <v>0</v>
      </c>
      <c r="J8" s="41">
        <f>SUM(J9:J19)</f>
        <v>0</v>
      </c>
      <c r="K8" s="41"/>
      <c r="L8" s="41">
        <f>SUM(L9:L19)</f>
        <v>0</v>
      </c>
      <c r="M8" s="41">
        <f>SUM(M9:M19)</f>
        <v>0</v>
      </c>
      <c r="N8" s="41"/>
      <c r="O8" s="41">
        <f>SUM(O9:O19)</f>
        <v>0</v>
      </c>
      <c r="P8" s="42">
        <f>SUM(P9:P19)</f>
        <v>0</v>
      </c>
      <c r="Q8" s="789"/>
    </row>
    <row r="9" spans="1:17" ht="25.5" hidden="1">
      <c r="A9" s="131" t="s">
        <v>512</v>
      </c>
      <c r="B9" s="775">
        <v>0</v>
      </c>
      <c r="C9" s="775">
        <v>0</v>
      </c>
      <c r="D9" s="775"/>
      <c r="E9" s="775">
        <v>0</v>
      </c>
      <c r="F9" s="775">
        <v>0</v>
      </c>
      <c r="G9" s="775">
        <f>+B9+C9+E9-F9</f>
        <v>0</v>
      </c>
      <c r="H9" s="776"/>
      <c r="I9" s="775">
        <v>0</v>
      </c>
      <c r="J9" s="775">
        <v>0</v>
      </c>
      <c r="K9" s="775"/>
      <c r="L9" s="777">
        <v>0</v>
      </c>
      <c r="M9" s="775">
        <f>+I9+J9-L9</f>
        <v>0</v>
      </c>
      <c r="N9" s="776"/>
      <c r="O9" s="775">
        <f>+G9-M9</f>
        <v>0</v>
      </c>
      <c r="P9" s="775">
        <v>0</v>
      </c>
      <c r="Q9" s="790"/>
    </row>
    <row r="10" spans="1:17" ht="25.5" hidden="1">
      <c r="A10" s="131" t="s">
        <v>513</v>
      </c>
      <c r="B10" s="778">
        <v>0</v>
      </c>
      <c r="C10" s="778">
        <v>0</v>
      </c>
      <c r="D10" s="778"/>
      <c r="E10" s="778">
        <v>0</v>
      </c>
      <c r="F10" s="778">
        <v>0</v>
      </c>
      <c r="G10" s="778">
        <f t="shared" ref="G10:G19" si="0">+B10+C10+E10-F10</f>
        <v>0</v>
      </c>
      <c r="H10" s="776"/>
      <c r="I10" s="778">
        <v>0</v>
      </c>
      <c r="J10" s="778">
        <v>0</v>
      </c>
      <c r="K10" s="778"/>
      <c r="L10" s="779">
        <v>0</v>
      </c>
      <c r="M10" s="778">
        <f t="shared" ref="M10:M19" si="1">+I10+J10-L10</f>
        <v>0</v>
      </c>
      <c r="N10" s="776"/>
      <c r="O10" s="778">
        <f t="shared" ref="O10:O19" si="2">+G10-M10</f>
        <v>0</v>
      </c>
      <c r="P10" s="778">
        <v>0</v>
      </c>
      <c r="Q10" s="790"/>
    </row>
    <row r="11" spans="1:17" ht="38.25" hidden="1">
      <c r="A11" s="131" t="s">
        <v>514</v>
      </c>
      <c r="B11" s="778">
        <v>0</v>
      </c>
      <c r="C11" s="778">
        <v>0</v>
      </c>
      <c r="D11" s="778"/>
      <c r="E11" s="778">
        <v>0</v>
      </c>
      <c r="F11" s="778">
        <v>0</v>
      </c>
      <c r="G11" s="778">
        <f t="shared" si="0"/>
        <v>0</v>
      </c>
      <c r="H11" s="776"/>
      <c r="I11" s="778">
        <v>0</v>
      </c>
      <c r="J11" s="778">
        <v>0</v>
      </c>
      <c r="K11" s="778"/>
      <c r="L11" s="779">
        <v>0</v>
      </c>
      <c r="M11" s="778">
        <f t="shared" si="1"/>
        <v>0</v>
      </c>
      <c r="N11" s="776"/>
      <c r="O11" s="778">
        <f t="shared" si="2"/>
        <v>0</v>
      </c>
      <c r="P11" s="778">
        <v>0</v>
      </c>
      <c r="Q11" s="790"/>
    </row>
    <row r="12" spans="1:17" ht="25.5" hidden="1">
      <c r="A12" s="131" t="s">
        <v>515</v>
      </c>
      <c r="B12" s="778">
        <v>0</v>
      </c>
      <c r="C12" s="778">
        <v>0</v>
      </c>
      <c r="D12" s="778"/>
      <c r="E12" s="778">
        <v>0</v>
      </c>
      <c r="F12" s="778">
        <v>0</v>
      </c>
      <c r="G12" s="778">
        <f t="shared" si="0"/>
        <v>0</v>
      </c>
      <c r="H12" s="776"/>
      <c r="I12" s="778">
        <v>0</v>
      </c>
      <c r="J12" s="778">
        <v>0</v>
      </c>
      <c r="K12" s="778"/>
      <c r="L12" s="779">
        <v>0</v>
      </c>
      <c r="M12" s="778">
        <f t="shared" si="1"/>
        <v>0</v>
      </c>
      <c r="N12" s="780"/>
      <c r="O12" s="778">
        <f t="shared" si="2"/>
        <v>0</v>
      </c>
      <c r="P12" s="778">
        <v>0</v>
      </c>
      <c r="Q12" s="790"/>
    </row>
    <row r="13" spans="1:17" ht="38.25" hidden="1">
      <c r="A13" s="131" t="s">
        <v>516</v>
      </c>
      <c r="B13" s="778">
        <v>0</v>
      </c>
      <c r="C13" s="778">
        <v>0</v>
      </c>
      <c r="D13" s="778"/>
      <c r="E13" s="778">
        <v>0</v>
      </c>
      <c r="F13" s="778">
        <v>0</v>
      </c>
      <c r="G13" s="778">
        <f t="shared" si="0"/>
        <v>0</v>
      </c>
      <c r="H13" s="776"/>
      <c r="I13" s="778">
        <v>0</v>
      </c>
      <c r="J13" s="778">
        <v>0</v>
      </c>
      <c r="K13" s="778"/>
      <c r="L13" s="779">
        <v>0</v>
      </c>
      <c r="M13" s="778">
        <f t="shared" si="1"/>
        <v>0</v>
      </c>
      <c r="N13" s="776"/>
      <c r="O13" s="778">
        <f t="shared" si="2"/>
        <v>0</v>
      </c>
      <c r="P13" s="778">
        <v>0</v>
      </c>
      <c r="Q13" s="790"/>
    </row>
    <row r="14" spans="1:17" hidden="1">
      <c r="A14" s="131" t="s">
        <v>517</v>
      </c>
      <c r="B14" s="778">
        <v>0</v>
      </c>
      <c r="C14" s="778">
        <v>0</v>
      </c>
      <c r="D14" s="778"/>
      <c r="E14" s="778">
        <v>0</v>
      </c>
      <c r="F14" s="778">
        <v>0</v>
      </c>
      <c r="G14" s="778">
        <f t="shared" si="0"/>
        <v>0</v>
      </c>
      <c r="H14" s="776"/>
      <c r="I14" s="778">
        <v>0</v>
      </c>
      <c r="J14" s="778">
        <v>0</v>
      </c>
      <c r="K14" s="778"/>
      <c r="L14" s="779">
        <v>0</v>
      </c>
      <c r="M14" s="778">
        <f t="shared" si="1"/>
        <v>0</v>
      </c>
      <c r="N14" s="776"/>
      <c r="O14" s="778">
        <f t="shared" si="2"/>
        <v>0</v>
      </c>
      <c r="P14" s="778">
        <v>0</v>
      </c>
      <c r="Q14" s="790"/>
    </row>
    <row r="15" spans="1:17" hidden="1">
      <c r="A15" s="131" t="s">
        <v>518</v>
      </c>
      <c r="B15" s="778">
        <v>0</v>
      </c>
      <c r="C15" s="778">
        <v>0</v>
      </c>
      <c r="D15" s="778"/>
      <c r="E15" s="778">
        <v>0</v>
      </c>
      <c r="F15" s="778">
        <v>0</v>
      </c>
      <c r="G15" s="778">
        <f t="shared" si="0"/>
        <v>0</v>
      </c>
      <c r="H15" s="776"/>
      <c r="I15" s="778">
        <v>0</v>
      </c>
      <c r="J15" s="778">
        <v>0</v>
      </c>
      <c r="K15" s="778"/>
      <c r="L15" s="779">
        <v>0</v>
      </c>
      <c r="M15" s="778">
        <f t="shared" si="1"/>
        <v>0</v>
      </c>
      <c r="N15" s="776"/>
      <c r="O15" s="778">
        <f t="shared" si="2"/>
        <v>0</v>
      </c>
      <c r="P15" s="778">
        <v>0</v>
      </c>
      <c r="Q15" s="790"/>
    </row>
    <row r="16" spans="1:17" hidden="1">
      <c r="A16" s="131" t="s">
        <v>519</v>
      </c>
      <c r="B16" s="778">
        <v>0</v>
      </c>
      <c r="C16" s="778">
        <v>0</v>
      </c>
      <c r="D16" s="778"/>
      <c r="E16" s="778">
        <v>0</v>
      </c>
      <c r="F16" s="778">
        <v>0</v>
      </c>
      <c r="G16" s="778">
        <f t="shared" si="0"/>
        <v>0</v>
      </c>
      <c r="H16" s="776"/>
      <c r="I16" s="778">
        <v>0</v>
      </c>
      <c r="J16" s="778">
        <v>0</v>
      </c>
      <c r="K16" s="778"/>
      <c r="L16" s="779">
        <v>0</v>
      </c>
      <c r="M16" s="778">
        <f t="shared" si="1"/>
        <v>0</v>
      </c>
      <c r="N16" s="776"/>
      <c r="O16" s="778">
        <f t="shared" si="2"/>
        <v>0</v>
      </c>
      <c r="P16" s="778">
        <v>0</v>
      </c>
      <c r="Q16" s="790"/>
    </row>
    <row r="17" spans="1:17" hidden="1">
      <c r="A17" s="131" t="s">
        <v>635</v>
      </c>
      <c r="B17" s="778">
        <v>0</v>
      </c>
      <c r="C17" s="778">
        <v>0</v>
      </c>
      <c r="D17" s="778"/>
      <c r="E17" s="778"/>
      <c r="F17" s="778"/>
      <c r="G17" s="778">
        <f t="shared" si="0"/>
        <v>0</v>
      </c>
      <c r="H17" s="776"/>
      <c r="I17" s="778">
        <v>0</v>
      </c>
      <c r="J17" s="778">
        <v>0</v>
      </c>
      <c r="K17" s="778"/>
      <c r="L17" s="779"/>
      <c r="M17" s="778">
        <f t="shared" si="1"/>
        <v>0</v>
      </c>
      <c r="N17" s="776"/>
      <c r="O17" s="778">
        <f>+G17-M17</f>
        <v>0</v>
      </c>
      <c r="P17" s="778">
        <v>0</v>
      </c>
      <c r="Q17" s="790"/>
    </row>
    <row r="18" spans="1:17" hidden="1">
      <c r="A18" s="131" t="s">
        <v>636</v>
      </c>
      <c r="B18" s="778">
        <v>0</v>
      </c>
      <c r="C18" s="778">
        <v>0</v>
      </c>
      <c r="D18" s="778"/>
      <c r="E18" s="778"/>
      <c r="F18" s="778"/>
      <c r="G18" s="778">
        <f t="shared" si="0"/>
        <v>0</v>
      </c>
      <c r="H18" s="776"/>
      <c r="I18" s="778">
        <v>0</v>
      </c>
      <c r="J18" s="778">
        <v>0</v>
      </c>
      <c r="K18" s="778"/>
      <c r="L18" s="779"/>
      <c r="M18" s="778">
        <f t="shared" si="1"/>
        <v>0</v>
      </c>
      <c r="N18" s="776"/>
      <c r="O18" s="778">
        <f>+G18-M18</f>
        <v>0</v>
      </c>
      <c r="P18" s="778">
        <v>0</v>
      </c>
      <c r="Q18" s="790"/>
    </row>
    <row r="19" spans="1:17" ht="25.5" hidden="1">
      <c r="A19" s="131" t="s">
        <v>520</v>
      </c>
      <c r="B19" s="781">
        <v>0</v>
      </c>
      <c r="C19" s="781">
        <v>0</v>
      </c>
      <c r="D19" s="781"/>
      <c r="E19" s="781">
        <v>0</v>
      </c>
      <c r="F19" s="781">
        <v>0</v>
      </c>
      <c r="G19" s="781">
        <f t="shared" si="0"/>
        <v>0</v>
      </c>
      <c r="H19" s="776"/>
      <c r="I19" s="781"/>
      <c r="J19" s="781">
        <v>0</v>
      </c>
      <c r="K19" s="781"/>
      <c r="L19" s="782">
        <v>0</v>
      </c>
      <c r="M19" s="781">
        <f t="shared" si="1"/>
        <v>0</v>
      </c>
      <c r="N19" s="776"/>
      <c r="O19" s="781">
        <f t="shared" si="2"/>
        <v>0</v>
      </c>
      <c r="P19" s="781">
        <v>0</v>
      </c>
      <c r="Q19" s="790"/>
    </row>
    <row r="20" spans="1:17" ht="12.75" hidden="1" customHeight="1">
      <c r="A20" s="131"/>
      <c r="B20" s="776"/>
      <c r="C20" s="776"/>
      <c r="D20" s="776"/>
      <c r="E20" s="776"/>
      <c r="F20" s="776"/>
      <c r="G20" s="776"/>
      <c r="H20" s="776"/>
      <c r="I20" s="776"/>
      <c r="J20" s="776"/>
      <c r="K20" s="776"/>
      <c r="L20" s="783"/>
      <c r="M20" s="776"/>
      <c r="N20" s="776"/>
      <c r="O20" s="776"/>
      <c r="P20" s="784"/>
      <c r="Q20" s="790"/>
    </row>
    <row r="21" spans="1:17" ht="25.5" hidden="1">
      <c r="A21" s="43" t="s">
        <v>521</v>
      </c>
      <c r="B21" s="41">
        <f>SUM(B22:B24)</f>
        <v>0</v>
      </c>
      <c r="C21" s="41">
        <f>SUM(C22:C24)</f>
        <v>0</v>
      </c>
      <c r="D21" s="41"/>
      <c r="E21" s="41">
        <f>SUM(E22:E24)</f>
        <v>0</v>
      </c>
      <c r="F21" s="41">
        <f>SUM(F22:F24)</f>
        <v>0</v>
      </c>
      <c r="G21" s="41">
        <f>SUM(G22:G24)</f>
        <v>0</v>
      </c>
      <c r="H21" s="41"/>
      <c r="I21" s="41">
        <f>SUM(I22:I24)</f>
        <v>0</v>
      </c>
      <c r="J21" s="41">
        <f>SUM(J22:J24)</f>
        <v>0</v>
      </c>
      <c r="K21" s="41"/>
      <c r="L21" s="41">
        <f>SUM(L22:L24)</f>
        <v>0</v>
      </c>
      <c r="M21" s="41">
        <f>SUM(M22:M24)</f>
        <v>0</v>
      </c>
      <c r="N21" s="41"/>
      <c r="O21" s="41">
        <f>SUM(O22:O24)</f>
        <v>0</v>
      </c>
      <c r="P21" s="42">
        <f>SUM(P22:P24)</f>
        <v>0</v>
      </c>
      <c r="Q21" s="789"/>
    </row>
    <row r="22" spans="1:17" hidden="1">
      <c r="A22" s="131" t="s">
        <v>639</v>
      </c>
      <c r="B22" s="775">
        <v>0</v>
      </c>
      <c r="C22" s="775">
        <v>0</v>
      </c>
      <c r="D22" s="775"/>
      <c r="E22" s="775">
        <v>0</v>
      </c>
      <c r="F22" s="775">
        <v>0</v>
      </c>
      <c r="G22" s="775">
        <v>0</v>
      </c>
      <c r="H22" s="776"/>
      <c r="I22" s="775">
        <v>0</v>
      </c>
      <c r="J22" s="775">
        <v>0</v>
      </c>
      <c r="K22" s="775"/>
      <c r="L22" s="777">
        <v>0</v>
      </c>
      <c r="M22" s="775">
        <v>0</v>
      </c>
      <c r="N22" s="776"/>
      <c r="O22" s="775">
        <f>+G22-M22</f>
        <v>0</v>
      </c>
      <c r="P22" s="775">
        <v>0</v>
      </c>
      <c r="Q22" s="790"/>
    </row>
    <row r="23" spans="1:17" hidden="1">
      <c r="A23" s="131" t="s">
        <v>660</v>
      </c>
      <c r="B23" s="778">
        <v>0</v>
      </c>
      <c r="C23" s="778">
        <v>0</v>
      </c>
      <c r="D23" s="778"/>
      <c r="E23" s="778">
        <v>0</v>
      </c>
      <c r="F23" s="778">
        <v>0</v>
      </c>
      <c r="G23" s="778">
        <v>0</v>
      </c>
      <c r="H23" s="776"/>
      <c r="I23" s="778">
        <v>0</v>
      </c>
      <c r="J23" s="778">
        <v>0</v>
      </c>
      <c r="K23" s="778"/>
      <c r="L23" s="779">
        <v>0</v>
      </c>
      <c r="M23" s="778">
        <v>0</v>
      </c>
      <c r="N23" s="776"/>
      <c r="O23" s="778">
        <f>+G23-M23</f>
        <v>0</v>
      </c>
      <c r="P23" s="778">
        <v>0</v>
      </c>
      <c r="Q23" s="790"/>
    </row>
    <row r="24" spans="1:17" hidden="1">
      <c r="A24" s="131" t="s">
        <v>1310</v>
      </c>
      <c r="B24" s="781">
        <v>0</v>
      </c>
      <c r="C24" s="781">
        <v>0</v>
      </c>
      <c r="D24" s="781"/>
      <c r="E24" s="781">
        <v>0</v>
      </c>
      <c r="F24" s="781">
        <v>0</v>
      </c>
      <c r="G24" s="781">
        <f>+B24+C24+E24-F24</f>
        <v>0</v>
      </c>
      <c r="H24" s="776"/>
      <c r="I24" s="781">
        <v>0</v>
      </c>
      <c r="J24" s="781">
        <v>0</v>
      </c>
      <c r="K24" s="781"/>
      <c r="L24" s="782">
        <v>0</v>
      </c>
      <c r="M24" s="781">
        <f>+I24+J24-L24</f>
        <v>0</v>
      </c>
      <c r="N24" s="776"/>
      <c r="O24" s="781">
        <f>+G24-M24</f>
        <v>0</v>
      </c>
      <c r="P24" s="781">
        <v>0</v>
      </c>
      <c r="Q24" s="790"/>
    </row>
    <row r="25" spans="1:17" hidden="1">
      <c r="A25" s="131"/>
      <c r="B25" s="776" t="s">
        <v>36</v>
      </c>
      <c r="C25" s="776" t="s">
        <v>36</v>
      </c>
      <c r="D25" s="776"/>
      <c r="E25" s="776"/>
      <c r="F25" s="776"/>
      <c r="G25" s="776" t="s">
        <v>36</v>
      </c>
      <c r="H25" s="776"/>
      <c r="I25" s="776"/>
      <c r="J25" s="776" t="s">
        <v>36</v>
      </c>
      <c r="K25" s="776"/>
      <c r="L25" s="783"/>
      <c r="M25" s="776"/>
      <c r="N25" s="776"/>
      <c r="O25" s="776"/>
      <c r="P25" s="784"/>
      <c r="Q25" s="790"/>
    </row>
    <row r="26" spans="1:17" hidden="1">
      <c r="A26" s="43" t="s">
        <v>1184</v>
      </c>
      <c r="B26" s="41">
        <f>SUM(B27:B34)</f>
        <v>700</v>
      </c>
      <c r="C26" s="41">
        <f>SUM(C27:C34)</f>
        <v>0</v>
      </c>
      <c r="D26" s="41">
        <f>SUM(D29)</f>
        <v>423376.42</v>
      </c>
      <c r="E26" s="41">
        <f>SUM(E27:E34)</f>
        <v>0</v>
      </c>
      <c r="F26" s="41">
        <f>SUM(F27:F34)</f>
        <v>0</v>
      </c>
      <c r="G26" s="41">
        <f>SUM(G27:G34)</f>
        <v>424076.42</v>
      </c>
      <c r="H26" s="41"/>
      <c r="I26" s="41">
        <f>SUM(I27:I34)</f>
        <v>138</v>
      </c>
      <c r="J26" s="41">
        <f>SUM(J27:J34)</f>
        <v>141263.74000000002</v>
      </c>
      <c r="K26" s="41">
        <f>SUM(K29)</f>
        <v>110580</v>
      </c>
      <c r="L26" s="41">
        <f>SUM(L27:L34)</f>
        <v>0</v>
      </c>
      <c r="M26" s="41">
        <f>SUM(M27:M34)</f>
        <v>251981.74000000002</v>
      </c>
      <c r="N26" s="41"/>
      <c r="O26" s="41">
        <f>SUM(O27:O34)</f>
        <v>172094.67999999996</v>
      </c>
      <c r="P26" s="42">
        <f>SUM(P27:P34)</f>
        <v>0</v>
      </c>
      <c r="Q26" s="789"/>
    </row>
    <row r="27" spans="1:17" hidden="1">
      <c r="A27" s="131" t="s">
        <v>36</v>
      </c>
      <c r="B27" s="775">
        <v>0</v>
      </c>
      <c r="C27" s="775">
        <v>0</v>
      </c>
      <c r="D27" s="775"/>
      <c r="E27" s="775">
        <v>0</v>
      </c>
      <c r="F27" s="775">
        <v>0</v>
      </c>
      <c r="G27" s="775">
        <f t="shared" ref="G27:G34" si="3">+B27+C27+E27-F27</f>
        <v>0</v>
      </c>
      <c r="H27" s="776"/>
      <c r="I27" s="775">
        <v>0</v>
      </c>
      <c r="J27" s="775">
        <v>0</v>
      </c>
      <c r="K27" s="775"/>
      <c r="L27" s="777">
        <v>0</v>
      </c>
      <c r="M27" s="775">
        <f t="shared" ref="M27:M34" si="4">+I27+J27-L27</f>
        <v>0</v>
      </c>
      <c r="N27" s="776"/>
      <c r="O27" s="775">
        <f t="shared" ref="O27:O34" si="5">+G27-M27</f>
        <v>0</v>
      </c>
      <c r="P27" s="775">
        <v>0</v>
      </c>
      <c r="Q27" s="790"/>
    </row>
    <row r="28" spans="1:17" hidden="1">
      <c r="A28" s="131" t="s">
        <v>36</v>
      </c>
      <c r="B28" s="778">
        <v>0</v>
      </c>
      <c r="C28" s="778">
        <v>0</v>
      </c>
      <c r="D28" s="778"/>
      <c r="E28" s="778">
        <v>0</v>
      </c>
      <c r="F28" s="778">
        <v>0</v>
      </c>
      <c r="G28" s="778">
        <v>0</v>
      </c>
      <c r="H28" s="776"/>
      <c r="I28" s="778">
        <v>0</v>
      </c>
      <c r="J28" s="778">
        <v>0</v>
      </c>
      <c r="K28" s="778"/>
      <c r="L28" s="779">
        <v>0</v>
      </c>
      <c r="M28" s="778">
        <f>+I28+J28-L28</f>
        <v>0</v>
      </c>
      <c r="N28" s="776"/>
      <c r="O28" s="778">
        <f t="shared" si="5"/>
        <v>0</v>
      </c>
      <c r="P28" s="778">
        <v>0</v>
      </c>
      <c r="Q28" s="790"/>
    </row>
    <row r="29" spans="1:17" hidden="1">
      <c r="A29" s="131" t="s">
        <v>1186</v>
      </c>
      <c r="B29" s="778">
        <v>0</v>
      </c>
      <c r="C29" s="778">
        <v>0</v>
      </c>
      <c r="D29" s="778">
        <v>423376.42</v>
      </c>
      <c r="E29" s="778">
        <v>0</v>
      </c>
      <c r="F29" s="778">
        <v>0</v>
      </c>
      <c r="G29" s="778">
        <f>SUM(B29:F29)</f>
        <v>423376.42</v>
      </c>
      <c r="H29" s="776"/>
      <c r="I29" s="778">
        <v>0</v>
      </c>
      <c r="J29" s="778">
        <v>141125.14000000001</v>
      </c>
      <c r="K29" s="778">
        <v>110580</v>
      </c>
      <c r="L29" s="779">
        <v>0</v>
      </c>
      <c r="M29" s="778">
        <f>+I29+J29-L29+K29</f>
        <v>251705.14</v>
      </c>
      <c r="N29" s="776"/>
      <c r="O29" s="778">
        <f t="shared" si="5"/>
        <v>171671.27999999997</v>
      </c>
      <c r="P29" s="778">
        <v>0</v>
      </c>
      <c r="Q29" s="790"/>
    </row>
    <row r="30" spans="1:17" hidden="1">
      <c r="A30" s="131" t="s">
        <v>2034</v>
      </c>
      <c r="B30" s="778">
        <v>700</v>
      </c>
      <c r="C30" s="778">
        <v>0</v>
      </c>
      <c r="D30" s="778"/>
      <c r="E30" s="778">
        <v>0</v>
      </c>
      <c r="F30" s="778">
        <v>0</v>
      </c>
      <c r="G30" s="778">
        <f t="shared" si="3"/>
        <v>700</v>
      </c>
      <c r="H30" s="776"/>
      <c r="I30" s="778">
        <v>138</v>
      </c>
      <c r="J30" s="778">
        <v>138.6</v>
      </c>
      <c r="K30" s="778"/>
      <c r="L30" s="779">
        <v>0</v>
      </c>
      <c r="M30" s="778">
        <f t="shared" si="4"/>
        <v>276.60000000000002</v>
      </c>
      <c r="N30" s="776"/>
      <c r="O30" s="778">
        <f t="shared" si="5"/>
        <v>423.4</v>
      </c>
      <c r="P30" s="778">
        <v>0</v>
      </c>
      <c r="Q30" s="790"/>
    </row>
    <row r="31" spans="1:17" hidden="1">
      <c r="A31" s="131" t="s">
        <v>36</v>
      </c>
      <c r="B31" s="778">
        <v>0</v>
      </c>
      <c r="C31" s="778">
        <v>0</v>
      </c>
      <c r="D31" s="778"/>
      <c r="E31" s="778">
        <v>0</v>
      </c>
      <c r="F31" s="778">
        <v>0</v>
      </c>
      <c r="G31" s="778">
        <f t="shared" si="3"/>
        <v>0</v>
      </c>
      <c r="H31" s="776"/>
      <c r="I31" s="778">
        <v>0</v>
      </c>
      <c r="J31" s="778">
        <v>0</v>
      </c>
      <c r="K31" s="778"/>
      <c r="L31" s="779">
        <v>0</v>
      </c>
      <c r="M31" s="778">
        <f t="shared" si="4"/>
        <v>0</v>
      </c>
      <c r="N31" s="776"/>
      <c r="O31" s="778">
        <f>+G31-M31</f>
        <v>0</v>
      </c>
      <c r="P31" s="778">
        <v>0</v>
      </c>
      <c r="Q31" s="790"/>
    </row>
    <row r="32" spans="1:17" hidden="1">
      <c r="A32" s="131" t="s">
        <v>36</v>
      </c>
      <c r="B32" s="778">
        <v>0</v>
      </c>
      <c r="C32" s="778">
        <v>0</v>
      </c>
      <c r="D32" s="778"/>
      <c r="E32" s="778">
        <v>0</v>
      </c>
      <c r="F32" s="778">
        <v>0</v>
      </c>
      <c r="G32" s="778">
        <f t="shared" si="3"/>
        <v>0</v>
      </c>
      <c r="H32" s="776"/>
      <c r="I32" s="778">
        <v>0</v>
      </c>
      <c r="J32" s="778">
        <v>0</v>
      </c>
      <c r="K32" s="778"/>
      <c r="L32" s="779">
        <v>0</v>
      </c>
      <c r="M32" s="778">
        <f t="shared" si="4"/>
        <v>0</v>
      </c>
      <c r="N32" s="776"/>
      <c r="O32" s="778">
        <f t="shared" si="5"/>
        <v>0</v>
      </c>
      <c r="P32" s="778">
        <v>0</v>
      </c>
      <c r="Q32" s="790"/>
    </row>
    <row r="33" spans="1:17" hidden="1">
      <c r="A33" s="131" t="s">
        <v>36</v>
      </c>
      <c r="B33" s="778">
        <v>0</v>
      </c>
      <c r="C33" s="778">
        <v>0</v>
      </c>
      <c r="D33" s="778"/>
      <c r="E33" s="778">
        <v>0</v>
      </c>
      <c r="F33" s="778">
        <v>0</v>
      </c>
      <c r="G33" s="778">
        <f t="shared" si="3"/>
        <v>0</v>
      </c>
      <c r="H33" s="776"/>
      <c r="I33" s="778">
        <v>0</v>
      </c>
      <c r="J33" s="778">
        <v>0</v>
      </c>
      <c r="K33" s="778"/>
      <c r="L33" s="779">
        <v>0</v>
      </c>
      <c r="M33" s="778">
        <f t="shared" si="4"/>
        <v>0</v>
      </c>
      <c r="N33" s="776"/>
      <c r="O33" s="778">
        <f t="shared" si="5"/>
        <v>0</v>
      </c>
      <c r="P33" s="778">
        <v>0</v>
      </c>
      <c r="Q33" s="790"/>
    </row>
    <row r="34" spans="1:17" hidden="1">
      <c r="A34" s="131" t="s">
        <v>36</v>
      </c>
      <c r="B34" s="781">
        <v>0</v>
      </c>
      <c r="C34" s="781">
        <v>0</v>
      </c>
      <c r="D34" s="781"/>
      <c r="E34" s="781">
        <v>0</v>
      </c>
      <c r="F34" s="781">
        <v>0</v>
      </c>
      <c r="G34" s="781">
        <f t="shared" si="3"/>
        <v>0</v>
      </c>
      <c r="H34" s="776"/>
      <c r="I34" s="781">
        <v>0</v>
      </c>
      <c r="J34" s="781">
        <v>0</v>
      </c>
      <c r="K34" s="781"/>
      <c r="L34" s="782">
        <v>0</v>
      </c>
      <c r="M34" s="781">
        <f t="shared" si="4"/>
        <v>0</v>
      </c>
      <c r="N34" s="776"/>
      <c r="O34" s="781">
        <f t="shared" si="5"/>
        <v>0</v>
      </c>
      <c r="P34" s="781">
        <v>0</v>
      </c>
      <c r="Q34" s="790"/>
    </row>
    <row r="35" spans="1:17" hidden="1">
      <c r="A35" s="131"/>
      <c r="B35" s="776"/>
      <c r="C35" s="776"/>
      <c r="D35" s="776"/>
      <c r="E35" s="776"/>
      <c r="F35" s="776"/>
      <c r="G35" s="776"/>
      <c r="H35" s="776"/>
      <c r="I35" s="776"/>
      <c r="J35" s="776"/>
      <c r="K35" s="776"/>
      <c r="L35" s="783"/>
      <c r="M35" s="776"/>
      <c r="N35" s="776"/>
      <c r="O35" s="776"/>
      <c r="P35" s="784"/>
      <c r="Q35" s="790"/>
    </row>
    <row r="36" spans="1:17" hidden="1">
      <c r="A36" s="43" t="s">
        <v>1188</v>
      </c>
      <c r="B36" s="41">
        <f t="shared" ref="B36:G36" si="6">B26+B21+B8</f>
        <v>700</v>
      </c>
      <c r="C36" s="41">
        <f t="shared" si="6"/>
        <v>0</v>
      </c>
      <c r="D36" s="41">
        <f t="shared" si="6"/>
        <v>423376.42</v>
      </c>
      <c r="E36" s="41">
        <f t="shared" si="6"/>
        <v>0</v>
      </c>
      <c r="F36" s="41">
        <f t="shared" si="6"/>
        <v>0</v>
      </c>
      <c r="G36" s="41">
        <f t="shared" si="6"/>
        <v>424076.42</v>
      </c>
      <c r="H36" s="41"/>
      <c r="I36" s="41">
        <f>I26+I21+I8</f>
        <v>138</v>
      </c>
      <c r="J36" s="41">
        <f>J26+J21+J8</f>
        <v>141263.74000000002</v>
      </c>
      <c r="K36" s="41">
        <f>K26+K21+K8</f>
        <v>110580</v>
      </c>
      <c r="L36" s="41">
        <f>L26+L21+L8</f>
        <v>0</v>
      </c>
      <c r="M36" s="41">
        <f>M26+M21+M8</f>
        <v>251981.74000000002</v>
      </c>
      <c r="N36" s="41"/>
      <c r="O36" s="41">
        <f>O26+O21+O8</f>
        <v>172094.67999999996</v>
      </c>
      <c r="P36" s="42">
        <f>P26+P21+P8</f>
        <v>0</v>
      </c>
      <c r="Q36" s="789"/>
    </row>
    <row r="37" spans="1:17" hidden="1">
      <c r="A37" s="43"/>
      <c r="B37" s="303"/>
      <c r="C37" s="303"/>
      <c r="D37" s="303"/>
      <c r="E37" s="303"/>
      <c r="F37" s="303"/>
      <c r="G37" s="303"/>
      <c r="H37" s="303"/>
      <c r="I37" s="303"/>
      <c r="J37" s="1758"/>
      <c r="K37" s="1758"/>
      <c r="L37" s="1758"/>
      <c r="M37" s="303"/>
      <c r="N37" s="303"/>
      <c r="O37" s="303"/>
      <c r="P37" s="46"/>
      <c r="Q37" s="789"/>
    </row>
    <row r="38" spans="1:17">
      <c r="A38" s="126"/>
      <c r="B38" s="780"/>
      <c r="C38" s="776"/>
      <c r="D38" s="776"/>
      <c r="E38" s="776"/>
      <c r="F38" s="776"/>
      <c r="G38" s="776"/>
      <c r="H38" s="776"/>
      <c r="I38" s="776"/>
      <c r="J38" s="776"/>
      <c r="K38" s="776"/>
      <c r="L38" s="776"/>
      <c r="M38" s="776"/>
      <c r="N38" s="776"/>
      <c r="O38" s="776"/>
      <c r="P38" s="785"/>
    </row>
    <row r="39" spans="1:17">
      <c r="A39" s="43" t="s">
        <v>511</v>
      </c>
      <c r="B39" s="41">
        <f>SUM(B40:B50)</f>
        <v>0</v>
      </c>
      <c r="C39" s="41">
        <f>SUM(C40:C50)</f>
        <v>0</v>
      </c>
      <c r="D39" s="41"/>
      <c r="E39" s="41">
        <f>SUM(E40:E50)</f>
        <v>0</v>
      </c>
      <c r="F39" s="41">
        <f>SUM(F40:F50)</f>
        <v>0</v>
      </c>
      <c r="G39" s="41">
        <f>SUM(G40:G50)</f>
        <v>0</v>
      </c>
      <c r="H39" s="41"/>
      <c r="I39" s="41">
        <f>SUM(I40:I50)</f>
        <v>0</v>
      </c>
      <c r="J39" s="41">
        <f>SUM(J40:J50)</f>
        <v>0</v>
      </c>
      <c r="K39" s="41"/>
      <c r="L39" s="41">
        <f>SUM(L40:L50)</f>
        <v>0</v>
      </c>
      <c r="M39" s="41">
        <f>SUM(M40:M50)</f>
        <v>0</v>
      </c>
      <c r="N39" s="41"/>
      <c r="O39" s="41">
        <f>SUM(O40:O50)</f>
        <v>0</v>
      </c>
      <c r="P39" s="42">
        <f>SUM(P40:P50)</f>
        <v>0</v>
      </c>
    </row>
    <row r="40" spans="1:17" ht="25.5">
      <c r="A40" s="131" t="s">
        <v>512</v>
      </c>
      <c r="B40" s="775">
        <v>0</v>
      </c>
      <c r="C40" s="775">
        <v>0</v>
      </c>
      <c r="D40" s="775"/>
      <c r="E40" s="775">
        <v>0</v>
      </c>
      <c r="F40" s="775">
        <v>0</v>
      </c>
      <c r="G40" s="775">
        <f>+B40+C40+E40-F40</f>
        <v>0</v>
      </c>
      <c r="H40" s="776"/>
      <c r="I40" s="775">
        <v>0</v>
      </c>
      <c r="J40" s="775">
        <v>0</v>
      </c>
      <c r="K40" s="775"/>
      <c r="L40" s="777">
        <v>0</v>
      </c>
      <c r="M40" s="775">
        <f>+I40+J40-L40</f>
        <v>0</v>
      </c>
      <c r="N40" s="776"/>
      <c r="O40" s="775">
        <f>+G40-M40</f>
        <v>0</v>
      </c>
      <c r="P40" s="775">
        <v>0</v>
      </c>
    </row>
    <row r="41" spans="1:17" ht="25.5">
      <c r="A41" s="131" t="s">
        <v>513</v>
      </c>
      <c r="B41" s="778">
        <v>0</v>
      </c>
      <c r="C41" s="778">
        <v>0</v>
      </c>
      <c r="D41" s="778"/>
      <c r="E41" s="778">
        <v>0</v>
      </c>
      <c r="F41" s="778">
        <v>0</v>
      </c>
      <c r="G41" s="778">
        <f t="shared" ref="G41:G50" si="7">+B41+C41+E41-F41</f>
        <v>0</v>
      </c>
      <c r="H41" s="776"/>
      <c r="I41" s="778">
        <v>0</v>
      </c>
      <c r="J41" s="778">
        <v>0</v>
      </c>
      <c r="K41" s="778"/>
      <c r="L41" s="779">
        <v>0</v>
      </c>
      <c r="M41" s="778">
        <f t="shared" ref="M41:M50" si="8">+I41+J41-L41</f>
        <v>0</v>
      </c>
      <c r="N41" s="776"/>
      <c r="O41" s="778">
        <f t="shared" ref="O41:O47" si="9">+G41-M41</f>
        <v>0</v>
      </c>
      <c r="P41" s="778">
        <v>0</v>
      </c>
    </row>
    <row r="42" spans="1:17" ht="38.25">
      <c r="A42" s="131" t="s">
        <v>514</v>
      </c>
      <c r="B42" s="778">
        <v>0</v>
      </c>
      <c r="C42" s="778">
        <v>0</v>
      </c>
      <c r="D42" s="778"/>
      <c r="E42" s="778">
        <v>0</v>
      </c>
      <c r="F42" s="778">
        <v>0</v>
      </c>
      <c r="G42" s="778">
        <f t="shared" si="7"/>
        <v>0</v>
      </c>
      <c r="H42" s="776"/>
      <c r="I42" s="778">
        <v>0</v>
      </c>
      <c r="J42" s="778">
        <v>0</v>
      </c>
      <c r="K42" s="778"/>
      <c r="L42" s="779">
        <v>0</v>
      </c>
      <c r="M42" s="778">
        <f t="shared" si="8"/>
        <v>0</v>
      </c>
      <c r="N42" s="776"/>
      <c r="O42" s="778">
        <f t="shared" si="9"/>
        <v>0</v>
      </c>
      <c r="P42" s="778">
        <v>0</v>
      </c>
    </row>
    <row r="43" spans="1:17" ht="25.5">
      <c r="A43" s="131" t="s">
        <v>515</v>
      </c>
      <c r="B43" s="778">
        <v>0</v>
      </c>
      <c r="C43" s="778">
        <v>0</v>
      </c>
      <c r="D43" s="778"/>
      <c r="E43" s="778">
        <v>0</v>
      </c>
      <c r="F43" s="778">
        <v>0</v>
      </c>
      <c r="G43" s="778">
        <f t="shared" si="7"/>
        <v>0</v>
      </c>
      <c r="H43" s="776"/>
      <c r="I43" s="778">
        <v>0</v>
      </c>
      <c r="J43" s="778">
        <v>0</v>
      </c>
      <c r="K43" s="778"/>
      <c r="L43" s="779">
        <v>0</v>
      </c>
      <c r="M43" s="778">
        <f t="shared" si="8"/>
        <v>0</v>
      </c>
      <c r="N43" s="780"/>
      <c r="O43" s="778">
        <f t="shared" si="9"/>
        <v>0</v>
      </c>
      <c r="P43" s="778">
        <v>0</v>
      </c>
    </row>
    <row r="44" spans="1:17" ht="38.25">
      <c r="A44" s="131" t="s">
        <v>516</v>
      </c>
      <c r="B44" s="778">
        <v>0</v>
      </c>
      <c r="C44" s="778">
        <v>0</v>
      </c>
      <c r="D44" s="778"/>
      <c r="E44" s="778">
        <v>0</v>
      </c>
      <c r="F44" s="778">
        <v>0</v>
      </c>
      <c r="G44" s="778">
        <f t="shared" si="7"/>
        <v>0</v>
      </c>
      <c r="H44" s="776"/>
      <c r="I44" s="778">
        <v>0</v>
      </c>
      <c r="J44" s="778">
        <v>0</v>
      </c>
      <c r="K44" s="778"/>
      <c r="L44" s="779">
        <v>0</v>
      </c>
      <c r="M44" s="778">
        <f t="shared" si="8"/>
        <v>0</v>
      </c>
      <c r="N44" s="776"/>
      <c r="O44" s="778">
        <f t="shared" si="9"/>
        <v>0</v>
      </c>
      <c r="P44" s="778">
        <v>0</v>
      </c>
    </row>
    <row r="45" spans="1:17">
      <c r="A45" s="131" t="s">
        <v>517</v>
      </c>
      <c r="B45" s="778">
        <v>0</v>
      </c>
      <c r="C45" s="778">
        <v>0</v>
      </c>
      <c r="D45" s="778"/>
      <c r="E45" s="778">
        <v>0</v>
      </c>
      <c r="F45" s="778">
        <v>0</v>
      </c>
      <c r="G45" s="778">
        <f t="shared" si="7"/>
        <v>0</v>
      </c>
      <c r="H45" s="776"/>
      <c r="I45" s="778">
        <v>0</v>
      </c>
      <c r="J45" s="778">
        <v>0</v>
      </c>
      <c r="K45" s="778"/>
      <c r="L45" s="779">
        <v>0</v>
      </c>
      <c r="M45" s="778">
        <f t="shared" si="8"/>
        <v>0</v>
      </c>
      <c r="N45" s="776"/>
      <c r="O45" s="778">
        <f t="shared" si="9"/>
        <v>0</v>
      </c>
      <c r="P45" s="778">
        <v>0</v>
      </c>
    </row>
    <row r="46" spans="1:17">
      <c r="A46" s="131" t="s">
        <v>518</v>
      </c>
      <c r="B46" s="778">
        <v>0</v>
      </c>
      <c r="C46" s="778">
        <v>0</v>
      </c>
      <c r="D46" s="778"/>
      <c r="E46" s="778">
        <v>0</v>
      </c>
      <c r="F46" s="778">
        <v>0</v>
      </c>
      <c r="G46" s="778">
        <f t="shared" si="7"/>
        <v>0</v>
      </c>
      <c r="H46" s="776"/>
      <c r="I46" s="778">
        <v>0</v>
      </c>
      <c r="J46" s="778">
        <v>0</v>
      </c>
      <c r="K46" s="778"/>
      <c r="L46" s="779">
        <v>0</v>
      </c>
      <c r="M46" s="778">
        <f t="shared" si="8"/>
        <v>0</v>
      </c>
      <c r="N46" s="776"/>
      <c r="O46" s="778">
        <f t="shared" si="9"/>
        <v>0</v>
      </c>
      <c r="P46" s="778">
        <v>0</v>
      </c>
    </row>
    <row r="47" spans="1:17">
      <c r="A47" s="131" t="s">
        <v>519</v>
      </c>
      <c r="B47" s="778">
        <v>0</v>
      </c>
      <c r="C47" s="778">
        <v>0</v>
      </c>
      <c r="D47" s="778"/>
      <c r="E47" s="778">
        <v>0</v>
      </c>
      <c r="F47" s="778">
        <v>0</v>
      </c>
      <c r="G47" s="778">
        <f t="shared" si="7"/>
        <v>0</v>
      </c>
      <c r="H47" s="776"/>
      <c r="I47" s="778">
        <v>0</v>
      </c>
      <c r="J47" s="778">
        <v>0</v>
      </c>
      <c r="K47" s="778"/>
      <c r="L47" s="779">
        <v>0</v>
      </c>
      <c r="M47" s="778">
        <f t="shared" si="8"/>
        <v>0</v>
      </c>
      <c r="N47" s="776"/>
      <c r="O47" s="778">
        <f t="shared" si="9"/>
        <v>0</v>
      </c>
      <c r="P47" s="778">
        <v>0</v>
      </c>
    </row>
    <row r="48" spans="1:17">
      <c r="A48" s="131" t="s">
        <v>635</v>
      </c>
      <c r="B48" s="778">
        <v>0</v>
      </c>
      <c r="C48" s="778">
        <v>0</v>
      </c>
      <c r="D48" s="778"/>
      <c r="E48" s="778"/>
      <c r="F48" s="778"/>
      <c r="G48" s="778">
        <f t="shared" si="7"/>
        <v>0</v>
      </c>
      <c r="H48" s="776"/>
      <c r="I48" s="778">
        <v>0</v>
      </c>
      <c r="J48" s="778">
        <v>0</v>
      </c>
      <c r="K48" s="778"/>
      <c r="L48" s="779"/>
      <c r="M48" s="778">
        <f t="shared" si="8"/>
        <v>0</v>
      </c>
      <c r="N48" s="776"/>
      <c r="O48" s="778">
        <f>+G48-M48</f>
        <v>0</v>
      </c>
      <c r="P48" s="778">
        <v>0</v>
      </c>
    </row>
    <row r="49" spans="1:16">
      <c r="A49" s="131" t="s">
        <v>636</v>
      </c>
      <c r="B49" s="778">
        <v>0</v>
      </c>
      <c r="C49" s="778">
        <v>0</v>
      </c>
      <c r="D49" s="778"/>
      <c r="E49" s="778"/>
      <c r="F49" s="778"/>
      <c r="G49" s="778">
        <f t="shared" si="7"/>
        <v>0</v>
      </c>
      <c r="H49" s="776"/>
      <c r="I49" s="778">
        <v>0</v>
      </c>
      <c r="J49" s="778">
        <v>0</v>
      </c>
      <c r="K49" s="778"/>
      <c r="L49" s="779"/>
      <c r="M49" s="778">
        <f t="shared" si="8"/>
        <v>0</v>
      </c>
      <c r="N49" s="776"/>
      <c r="O49" s="778">
        <f>+G49-M49</f>
        <v>0</v>
      </c>
      <c r="P49" s="778">
        <v>0</v>
      </c>
    </row>
    <row r="50" spans="1:16" ht="25.5">
      <c r="A50" s="131" t="s">
        <v>520</v>
      </c>
      <c r="B50" s="781">
        <v>0</v>
      </c>
      <c r="C50" s="781">
        <v>0</v>
      </c>
      <c r="D50" s="781"/>
      <c r="E50" s="781">
        <v>0</v>
      </c>
      <c r="F50" s="781">
        <v>0</v>
      </c>
      <c r="G50" s="781">
        <f t="shared" si="7"/>
        <v>0</v>
      </c>
      <c r="H50" s="776"/>
      <c r="I50" s="781"/>
      <c r="J50" s="781">
        <v>0</v>
      </c>
      <c r="K50" s="781"/>
      <c r="L50" s="782">
        <v>0</v>
      </c>
      <c r="M50" s="781">
        <f t="shared" si="8"/>
        <v>0</v>
      </c>
      <c r="N50" s="776"/>
      <c r="O50" s="781">
        <f t="shared" ref="O50" si="10">+G50-M50</f>
        <v>0</v>
      </c>
      <c r="P50" s="781">
        <v>0</v>
      </c>
    </row>
    <row r="51" spans="1:16">
      <c r="A51" s="131"/>
      <c r="B51" s="776"/>
      <c r="C51" s="776"/>
      <c r="D51" s="776"/>
      <c r="E51" s="776"/>
      <c r="F51" s="776"/>
      <c r="G51" s="776"/>
      <c r="H51" s="776"/>
      <c r="I51" s="776"/>
      <c r="J51" s="776"/>
      <c r="K51" s="776"/>
      <c r="L51" s="783"/>
      <c r="M51" s="776"/>
      <c r="N51" s="776"/>
      <c r="O51" s="776"/>
      <c r="P51" s="784"/>
    </row>
    <row r="52" spans="1:16" ht="25.5">
      <c r="A52" s="43" t="s">
        <v>521</v>
      </c>
      <c r="B52" s="41">
        <f>SUM(B53:B55)</f>
        <v>0</v>
      </c>
      <c r="C52" s="41">
        <f>SUM(C53:C55)</f>
        <v>0</v>
      </c>
      <c r="D52" s="41"/>
      <c r="E52" s="41">
        <f>SUM(E53:E55)</f>
        <v>0</v>
      </c>
      <c r="F52" s="41">
        <f>SUM(F53:F55)</f>
        <v>0</v>
      </c>
      <c r="G52" s="41">
        <f>SUM(G53:G55)</f>
        <v>0</v>
      </c>
      <c r="H52" s="41"/>
      <c r="I52" s="41">
        <f>SUM(I53:I55)</f>
        <v>0</v>
      </c>
      <c r="J52" s="41">
        <f>SUM(J53:J55)</f>
        <v>0</v>
      </c>
      <c r="K52" s="41"/>
      <c r="L52" s="41">
        <f>SUM(L53:L55)</f>
        <v>0</v>
      </c>
      <c r="M52" s="41">
        <f>SUM(M53:M55)</f>
        <v>0</v>
      </c>
      <c r="N52" s="41"/>
      <c r="O52" s="41">
        <f>SUM(O53:O55)</f>
        <v>0</v>
      </c>
      <c r="P52" s="42">
        <f>SUM(P53:P55)</f>
        <v>0</v>
      </c>
    </row>
    <row r="53" spans="1:16">
      <c r="A53" s="131" t="s">
        <v>639</v>
      </c>
      <c r="B53" s="775">
        <v>0</v>
      </c>
      <c r="C53" s="775">
        <v>0</v>
      </c>
      <c r="D53" s="775"/>
      <c r="E53" s="775">
        <v>0</v>
      </c>
      <c r="F53" s="775">
        <v>0</v>
      </c>
      <c r="G53" s="775">
        <v>0</v>
      </c>
      <c r="H53" s="776"/>
      <c r="I53" s="775">
        <v>0</v>
      </c>
      <c r="J53" s="775">
        <v>0</v>
      </c>
      <c r="K53" s="775"/>
      <c r="L53" s="777">
        <v>0</v>
      </c>
      <c r="M53" s="775">
        <v>0</v>
      </c>
      <c r="N53" s="776"/>
      <c r="O53" s="775">
        <f>+G53-M53</f>
        <v>0</v>
      </c>
      <c r="P53" s="775">
        <v>0</v>
      </c>
    </row>
    <row r="54" spans="1:16">
      <c r="A54" s="131" t="s">
        <v>660</v>
      </c>
      <c r="B54" s="778">
        <v>0</v>
      </c>
      <c r="C54" s="778">
        <v>0</v>
      </c>
      <c r="D54" s="778"/>
      <c r="E54" s="778">
        <v>0</v>
      </c>
      <c r="F54" s="778">
        <v>0</v>
      </c>
      <c r="G54" s="778">
        <v>0</v>
      </c>
      <c r="H54" s="776"/>
      <c r="I54" s="778">
        <v>0</v>
      </c>
      <c r="J54" s="778">
        <v>0</v>
      </c>
      <c r="K54" s="778"/>
      <c r="L54" s="779">
        <v>0</v>
      </c>
      <c r="M54" s="778">
        <v>0</v>
      </c>
      <c r="N54" s="776"/>
      <c r="O54" s="778">
        <f>+G54-M54</f>
        <v>0</v>
      </c>
      <c r="P54" s="778">
        <v>0</v>
      </c>
    </row>
    <row r="55" spans="1:16">
      <c r="A55" s="131" t="s">
        <v>1310</v>
      </c>
      <c r="B55" s="781">
        <v>0</v>
      </c>
      <c r="C55" s="781">
        <v>0</v>
      </c>
      <c r="D55" s="781"/>
      <c r="E55" s="781">
        <v>0</v>
      </c>
      <c r="F55" s="781">
        <v>0</v>
      </c>
      <c r="G55" s="781">
        <f>+B55+C55+E55-F55</f>
        <v>0</v>
      </c>
      <c r="H55" s="776"/>
      <c r="I55" s="781">
        <v>0</v>
      </c>
      <c r="J55" s="781">
        <v>0</v>
      </c>
      <c r="K55" s="781"/>
      <c r="L55" s="782">
        <v>0</v>
      </c>
      <c r="M55" s="781">
        <f>+I55+J55-L55</f>
        <v>0</v>
      </c>
      <c r="N55" s="776"/>
      <c r="O55" s="781">
        <f>+G55-M55</f>
        <v>0</v>
      </c>
      <c r="P55" s="781">
        <v>0</v>
      </c>
    </row>
    <row r="56" spans="1:16">
      <c r="A56" s="131"/>
      <c r="B56" s="776" t="s">
        <v>36</v>
      </c>
      <c r="C56" s="776" t="s">
        <v>36</v>
      </c>
      <c r="D56" s="776"/>
      <c r="E56" s="776"/>
      <c r="F56" s="776"/>
      <c r="G56" s="776" t="s">
        <v>36</v>
      </c>
      <c r="H56" s="776"/>
      <c r="I56" s="776"/>
      <c r="J56" s="776" t="s">
        <v>36</v>
      </c>
      <c r="K56" s="776"/>
      <c r="L56" s="783"/>
      <c r="M56" s="776"/>
      <c r="N56" s="776"/>
      <c r="O56" s="776"/>
      <c r="P56" s="784"/>
    </row>
    <row r="57" spans="1:16">
      <c r="A57" s="43" t="s">
        <v>1184</v>
      </c>
      <c r="B57" s="41">
        <f>SUM(B58:B65)</f>
        <v>424076.42</v>
      </c>
      <c r="C57" s="41">
        <f>SUM(C58:C65)</f>
        <v>157560.6</v>
      </c>
      <c r="D57" s="41">
        <f>SUM(D60)</f>
        <v>0</v>
      </c>
      <c r="E57" s="41">
        <f>SUM(E58:E65)</f>
        <v>0</v>
      </c>
      <c r="F57" s="41">
        <f>SUM(F58:F65)</f>
        <v>424076</v>
      </c>
      <c r="G57" s="41">
        <f>SUM(G58:G65)</f>
        <v>157561.02000000002</v>
      </c>
      <c r="H57" s="41"/>
      <c r="I57" s="41">
        <f>SUM(I58:I65)</f>
        <v>251981.74000000002</v>
      </c>
      <c r="J57" s="41">
        <f>SUM(J58:J65)</f>
        <v>70603.319999999992</v>
      </c>
      <c r="K57" s="41">
        <f>SUM(K60)</f>
        <v>0</v>
      </c>
      <c r="L57" s="41">
        <f>SUM(L58:L65)</f>
        <v>251705</v>
      </c>
      <c r="M57" s="41">
        <f>SUM(M58:M65)</f>
        <v>70880.060000000027</v>
      </c>
      <c r="N57" s="41"/>
      <c r="O57" s="41">
        <f>SUM(O58:O65)</f>
        <v>86680.959999999992</v>
      </c>
      <c r="P57" s="42">
        <f>SUM(P58:P65)</f>
        <v>0</v>
      </c>
    </row>
    <row r="58" spans="1:16">
      <c r="A58" s="131" t="s">
        <v>36</v>
      </c>
      <c r="B58" s="775">
        <v>0</v>
      </c>
      <c r="C58" s="775">
        <v>0</v>
      </c>
      <c r="D58" s="775"/>
      <c r="E58" s="775">
        <v>0</v>
      </c>
      <c r="F58" s="775">
        <v>0</v>
      </c>
      <c r="G58" s="775">
        <f t="shared" ref="G58" si="11">+B58+C58+E58-F58</f>
        <v>0</v>
      </c>
      <c r="H58" s="776"/>
      <c r="I58" s="775">
        <v>0</v>
      </c>
      <c r="J58" s="775">
        <v>0</v>
      </c>
      <c r="K58" s="775"/>
      <c r="L58" s="777">
        <v>0</v>
      </c>
      <c r="M58" s="775">
        <f t="shared" ref="M58" si="12">+I58+J58-L58</f>
        <v>0</v>
      </c>
      <c r="N58" s="776"/>
      <c r="O58" s="775">
        <f t="shared" ref="O58:O61" si="13">+G58-M58</f>
        <v>0</v>
      </c>
      <c r="P58" s="775">
        <v>0</v>
      </c>
    </row>
    <row r="59" spans="1:16">
      <c r="A59" s="131" t="s">
        <v>36</v>
      </c>
      <c r="B59" s="778">
        <v>0</v>
      </c>
      <c r="C59" s="778">
        <v>0</v>
      </c>
      <c r="D59" s="778"/>
      <c r="E59" s="778">
        <v>0</v>
      </c>
      <c r="F59" s="778">
        <v>0</v>
      </c>
      <c r="G59" s="778">
        <v>0</v>
      </c>
      <c r="H59" s="776"/>
      <c r="I59" s="778">
        <v>0</v>
      </c>
      <c r="J59" s="778">
        <v>0</v>
      </c>
      <c r="K59" s="778"/>
      <c r="L59" s="779">
        <v>0</v>
      </c>
      <c r="M59" s="778">
        <f>+I59+J59-L59</f>
        <v>0</v>
      </c>
      <c r="N59" s="776"/>
      <c r="O59" s="778">
        <f t="shared" si="13"/>
        <v>0</v>
      </c>
      <c r="P59" s="778">
        <v>0</v>
      </c>
    </row>
    <row r="60" spans="1:16">
      <c r="A60" s="131" t="s">
        <v>1186</v>
      </c>
      <c r="B60" s="778">
        <f>G29</f>
        <v>423376.42</v>
      </c>
      <c r="C60" s="778">
        <f>143500+14060.6</f>
        <v>157560.6</v>
      </c>
      <c r="D60" s="778">
        <v>0</v>
      </c>
      <c r="E60" s="778">
        <v>0</v>
      </c>
      <c r="F60" s="778">
        <v>423376</v>
      </c>
      <c r="G60" s="778">
        <f t="shared" ref="G60:G65" si="14">+B60+C60+E60-F60</f>
        <v>157561.02000000002</v>
      </c>
      <c r="H60" s="776"/>
      <c r="I60" s="778">
        <f>M29</f>
        <v>251705.14</v>
      </c>
      <c r="J60" s="778">
        <f>35855.34+28700+6047.98</f>
        <v>70603.319999999992</v>
      </c>
      <c r="K60" s="778">
        <v>0</v>
      </c>
      <c r="L60" s="779">
        <v>251705</v>
      </c>
      <c r="M60" s="778">
        <f>+I60+J60-L60+K60</f>
        <v>70603.460000000021</v>
      </c>
      <c r="N60" s="776"/>
      <c r="O60" s="778">
        <f t="shared" si="13"/>
        <v>86957.56</v>
      </c>
      <c r="P60" s="778">
        <v>0</v>
      </c>
    </row>
    <row r="61" spans="1:16">
      <c r="A61" s="131" t="s">
        <v>2034</v>
      </c>
      <c r="B61" s="778">
        <f>G30</f>
        <v>700</v>
      </c>
      <c r="C61" s="778">
        <v>0</v>
      </c>
      <c r="D61" s="778"/>
      <c r="E61" s="778">
        <v>0</v>
      </c>
      <c r="F61" s="778">
        <v>700</v>
      </c>
      <c r="G61" s="778">
        <f t="shared" si="14"/>
        <v>0</v>
      </c>
      <c r="H61" s="776"/>
      <c r="I61" s="778">
        <f>M30</f>
        <v>276.60000000000002</v>
      </c>
      <c r="J61" s="778">
        <v>0</v>
      </c>
      <c r="K61" s="778"/>
      <c r="L61" s="779">
        <v>0</v>
      </c>
      <c r="M61" s="778">
        <f t="shared" ref="M61:M65" si="15">+I61+J61-L61</f>
        <v>276.60000000000002</v>
      </c>
      <c r="N61" s="776"/>
      <c r="O61" s="778">
        <f t="shared" si="13"/>
        <v>-276.60000000000002</v>
      </c>
      <c r="P61" s="778">
        <v>0</v>
      </c>
    </row>
    <row r="62" spans="1:16">
      <c r="A62" s="131" t="s">
        <v>36</v>
      </c>
      <c r="B62" s="778">
        <v>0</v>
      </c>
      <c r="C62" s="778">
        <v>0</v>
      </c>
      <c r="D62" s="778"/>
      <c r="E62" s="778">
        <v>0</v>
      </c>
      <c r="F62" s="778">
        <v>0</v>
      </c>
      <c r="G62" s="778">
        <f t="shared" si="14"/>
        <v>0</v>
      </c>
      <c r="H62" s="776"/>
      <c r="I62" s="778">
        <v>0</v>
      </c>
      <c r="J62" s="778">
        <v>0</v>
      </c>
      <c r="K62" s="778"/>
      <c r="L62" s="779">
        <v>0</v>
      </c>
      <c r="M62" s="778">
        <f t="shared" si="15"/>
        <v>0</v>
      </c>
      <c r="N62" s="776"/>
      <c r="O62" s="778">
        <f>+G62-M62</f>
        <v>0</v>
      </c>
      <c r="P62" s="778">
        <v>0</v>
      </c>
    </row>
    <row r="63" spans="1:16">
      <c r="A63" s="131" t="s">
        <v>36</v>
      </c>
      <c r="B63" s="778">
        <v>0</v>
      </c>
      <c r="C63" s="778">
        <v>0</v>
      </c>
      <c r="D63" s="778"/>
      <c r="E63" s="778">
        <v>0</v>
      </c>
      <c r="F63" s="778">
        <v>0</v>
      </c>
      <c r="G63" s="778">
        <f t="shared" si="14"/>
        <v>0</v>
      </c>
      <c r="H63" s="776"/>
      <c r="I63" s="778">
        <v>0</v>
      </c>
      <c r="J63" s="778">
        <v>0</v>
      </c>
      <c r="K63" s="778"/>
      <c r="L63" s="779">
        <v>0</v>
      </c>
      <c r="M63" s="778">
        <f t="shared" si="15"/>
        <v>0</v>
      </c>
      <c r="N63" s="776"/>
      <c r="O63" s="778">
        <f t="shared" ref="O63:O65" si="16">+G63-M63</f>
        <v>0</v>
      </c>
      <c r="P63" s="778">
        <v>0</v>
      </c>
    </row>
    <row r="64" spans="1:16">
      <c r="A64" s="131" t="s">
        <v>36</v>
      </c>
      <c r="B64" s="778">
        <v>0</v>
      </c>
      <c r="C64" s="778">
        <v>0</v>
      </c>
      <c r="D64" s="778"/>
      <c r="E64" s="778">
        <v>0</v>
      </c>
      <c r="F64" s="778">
        <v>0</v>
      </c>
      <c r="G64" s="778">
        <f t="shared" si="14"/>
        <v>0</v>
      </c>
      <c r="H64" s="776"/>
      <c r="I64" s="778">
        <v>0</v>
      </c>
      <c r="J64" s="778">
        <v>0</v>
      </c>
      <c r="K64" s="778"/>
      <c r="L64" s="779">
        <v>0</v>
      </c>
      <c r="M64" s="778">
        <f t="shared" si="15"/>
        <v>0</v>
      </c>
      <c r="N64" s="776"/>
      <c r="O64" s="778">
        <f t="shared" si="16"/>
        <v>0</v>
      </c>
      <c r="P64" s="778">
        <v>0</v>
      </c>
    </row>
    <row r="65" spans="1:16">
      <c r="A65" s="131" t="s">
        <v>36</v>
      </c>
      <c r="B65" s="781">
        <v>0</v>
      </c>
      <c r="C65" s="781">
        <v>0</v>
      </c>
      <c r="D65" s="781"/>
      <c r="E65" s="781">
        <v>0</v>
      </c>
      <c r="F65" s="781">
        <v>0</v>
      </c>
      <c r="G65" s="781">
        <f t="shared" si="14"/>
        <v>0</v>
      </c>
      <c r="H65" s="776"/>
      <c r="I65" s="781">
        <v>0</v>
      </c>
      <c r="J65" s="781">
        <v>0</v>
      </c>
      <c r="K65" s="781"/>
      <c r="L65" s="782">
        <v>0</v>
      </c>
      <c r="M65" s="781">
        <f t="shared" si="15"/>
        <v>0</v>
      </c>
      <c r="N65" s="776"/>
      <c r="O65" s="781">
        <f t="shared" si="16"/>
        <v>0</v>
      </c>
      <c r="P65" s="781">
        <v>0</v>
      </c>
    </row>
    <row r="66" spans="1:16">
      <c r="A66" s="131"/>
      <c r="B66" s="776"/>
      <c r="C66" s="776"/>
      <c r="D66" s="776"/>
      <c r="E66" s="776"/>
      <c r="F66" s="776"/>
      <c r="G66" s="776"/>
      <c r="H66" s="776"/>
      <c r="I66" s="776"/>
      <c r="J66" s="776"/>
      <c r="K66" s="776"/>
      <c r="L66" s="783"/>
      <c r="M66" s="776"/>
      <c r="N66" s="776"/>
      <c r="O66" s="776"/>
      <c r="P66" s="784"/>
    </row>
    <row r="67" spans="1:16">
      <c r="A67" s="43" t="s">
        <v>1188</v>
      </c>
      <c r="B67" s="41">
        <f t="shared" ref="B67:G67" si="17">B57+B52+B39</f>
        <v>424076.42</v>
      </c>
      <c r="C67" s="41">
        <f t="shared" si="17"/>
        <v>157560.6</v>
      </c>
      <c r="D67" s="41">
        <f t="shared" si="17"/>
        <v>0</v>
      </c>
      <c r="E67" s="41">
        <f t="shared" si="17"/>
        <v>0</v>
      </c>
      <c r="F67" s="41">
        <f t="shared" si="17"/>
        <v>424076</v>
      </c>
      <c r="G67" s="1622">
        <f t="shared" si="17"/>
        <v>157561.02000000002</v>
      </c>
      <c r="H67" s="41"/>
      <c r="I67" s="41">
        <f>I57+I52+I39</f>
        <v>251981.74000000002</v>
      </c>
      <c r="J67" s="41">
        <f>J57+J52+J39</f>
        <v>70603.319999999992</v>
      </c>
      <c r="K67" s="41">
        <f>K57+K52+K39</f>
        <v>0</v>
      </c>
      <c r="L67" s="41">
        <f>L57+L52+L39</f>
        <v>251705</v>
      </c>
      <c r="M67" s="41">
        <f>M57+M52+M39</f>
        <v>70880.060000000027</v>
      </c>
      <c r="N67" s="41"/>
      <c r="O67" s="41">
        <f>O57+O52+O39</f>
        <v>86680.959999999992</v>
      </c>
      <c r="P67" s="42">
        <f>P57+P52+P39</f>
        <v>0</v>
      </c>
    </row>
    <row r="68" spans="1:16">
      <c r="A68" s="43"/>
      <c r="B68" s="303"/>
      <c r="C68" s="303"/>
      <c r="D68" s="303"/>
      <c r="E68" s="303"/>
      <c r="F68" s="303"/>
      <c r="G68" s="303"/>
      <c r="H68" s="303"/>
      <c r="I68" s="303"/>
      <c r="J68" s="1758"/>
      <c r="K68" s="1758"/>
      <c r="L68" s="1758"/>
      <c r="M68" s="303"/>
      <c r="N68" s="303"/>
      <c r="O68" s="303"/>
      <c r="P68" s="46"/>
    </row>
    <row r="69" spans="1:16">
      <c r="A69" s="126"/>
      <c r="B69" s="680"/>
    </row>
    <row r="70" spans="1:16">
      <c r="A70" s="126"/>
      <c r="B70" s="680"/>
    </row>
    <row r="71" spans="1:16">
      <c r="A71" s="126"/>
      <c r="B71" s="680"/>
    </row>
    <row r="72" spans="1:16">
      <c r="A72" s="126"/>
      <c r="B72" s="680"/>
    </row>
    <row r="73" spans="1:16">
      <c r="A73" s="126"/>
      <c r="B73" s="680"/>
    </row>
    <row r="74" spans="1:16">
      <c r="A74" s="126"/>
      <c r="B74" s="680"/>
    </row>
    <row r="75" spans="1:16">
      <c r="A75" s="126"/>
      <c r="B75" s="680"/>
    </row>
    <row r="76" spans="1:16">
      <c r="A76" s="126"/>
      <c r="B76" s="680"/>
    </row>
    <row r="77" spans="1:16">
      <c r="A77" s="126"/>
      <c r="B77" s="680"/>
    </row>
    <row r="78" spans="1:16">
      <c r="A78" s="126"/>
      <c r="B78" s="680"/>
    </row>
    <row r="79" spans="1:16">
      <c r="A79" s="126"/>
      <c r="B79" s="680"/>
    </row>
    <row r="80" spans="1:16">
      <c r="A80" s="126"/>
      <c r="B80" s="680"/>
    </row>
    <row r="81" spans="1:2">
      <c r="A81" s="126"/>
      <c r="B81" s="680"/>
    </row>
    <row r="82" spans="1:2">
      <c r="A82" s="126"/>
      <c r="B82" s="680"/>
    </row>
    <row r="83" spans="1:2">
      <c r="A83" s="126"/>
      <c r="B83" s="680"/>
    </row>
    <row r="84" spans="1:2">
      <c r="A84" s="126"/>
      <c r="B84" s="680"/>
    </row>
    <row r="85" spans="1:2">
      <c r="A85" s="126"/>
      <c r="B85" s="680"/>
    </row>
    <row r="86" spans="1:2">
      <c r="A86" s="126"/>
      <c r="B86" s="680"/>
    </row>
    <row r="87" spans="1:2">
      <c r="A87" s="126"/>
      <c r="B87" s="680"/>
    </row>
    <row r="88" spans="1:2">
      <c r="A88" s="126"/>
      <c r="B88" s="680"/>
    </row>
    <row r="89" spans="1:2">
      <c r="A89" s="126"/>
      <c r="B89" s="680"/>
    </row>
    <row r="90" spans="1:2">
      <c r="A90" s="126"/>
      <c r="B90" s="680"/>
    </row>
    <row r="91" spans="1:2">
      <c r="A91" s="126"/>
      <c r="B91" s="680"/>
    </row>
    <row r="92" spans="1:2">
      <c r="A92" s="126"/>
      <c r="B92" s="680"/>
    </row>
    <row r="93" spans="1:2">
      <c r="A93" s="126"/>
      <c r="B93" s="680"/>
    </row>
    <row r="94" spans="1:2">
      <c r="A94" s="126"/>
      <c r="B94" s="680"/>
    </row>
    <row r="95" spans="1:2">
      <c r="A95" s="126"/>
      <c r="B95" s="680"/>
    </row>
    <row r="96" spans="1:2">
      <c r="A96" s="126"/>
      <c r="B96" s="680"/>
    </row>
    <row r="97" spans="1:2">
      <c r="A97" s="126"/>
      <c r="B97" s="680"/>
    </row>
    <row r="98" spans="1:2">
      <c r="A98" s="126"/>
      <c r="B98" s="680"/>
    </row>
    <row r="99" spans="1:2">
      <c r="A99" s="126"/>
      <c r="B99" s="680"/>
    </row>
    <row r="100" spans="1:2">
      <c r="A100" s="126"/>
      <c r="B100" s="680"/>
    </row>
    <row r="101" spans="1:2">
      <c r="A101" s="126"/>
      <c r="B101" s="680"/>
    </row>
    <row r="102" spans="1:2">
      <c r="A102" s="126"/>
      <c r="B102" s="680"/>
    </row>
    <row r="103" spans="1:2">
      <c r="A103" s="126"/>
      <c r="B103" s="680"/>
    </row>
    <row r="104" spans="1:2">
      <c r="A104" s="126"/>
      <c r="B104" s="680"/>
    </row>
    <row r="105" spans="1:2">
      <c r="A105" s="126"/>
      <c r="B105" s="680"/>
    </row>
    <row r="106" spans="1:2">
      <c r="A106" s="126"/>
      <c r="B106" s="680"/>
    </row>
    <row r="107" spans="1:2">
      <c r="A107" s="126"/>
      <c r="B107" s="680"/>
    </row>
    <row r="108" spans="1:2">
      <c r="A108" s="126"/>
      <c r="B108" s="680"/>
    </row>
    <row r="109" spans="1:2">
      <c r="A109" s="126"/>
      <c r="B109" s="680"/>
    </row>
    <row r="110" spans="1:2">
      <c r="A110" s="126"/>
      <c r="B110" s="680"/>
    </row>
    <row r="111" spans="1:2">
      <c r="A111" s="126"/>
      <c r="B111" s="680"/>
    </row>
    <row r="112" spans="1:2">
      <c r="A112" s="126"/>
      <c r="B112" s="680"/>
    </row>
    <row r="113" spans="1:2">
      <c r="A113" s="126"/>
      <c r="B113" s="680"/>
    </row>
    <row r="114" spans="1:2">
      <c r="A114" s="126"/>
      <c r="B114" s="680"/>
    </row>
    <row r="115" spans="1:2">
      <c r="A115" s="126"/>
      <c r="B115" s="680"/>
    </row>
    <row r="116" spans="1:2">
      <c r="A116" s="126"/>
      <c r="B116" s="680"/>
    </row>
    <row r="117" spans="1:2">
      <c r="A117" s="126"/>
      <c r="B117" s="680"/>
    </row>
    <row r="118" spans="1:2">
      <c r="A118" s="126"/>
      <c r="B118" s="680"/>
    </row>
    <row r="119" spans="1:2">
      <c r="A119" s="126"/>
      <c r="B119" s="680"/>
    </row>
    <row r="120" spans="1:2">
      <c r="A120" s="126"/>
      <c r="B120" s="680"/>
    </row>
    <row r="121" spans="1:2">
      <c r="A121" s="126"/>
      <c r="B121" s="680"/>
    </row>
    <row r="122" spans="1:2">
      <c r="A122" s="126"/>
      <c r="B122" s="680"/>
    </row>
    <row r="123" spans="1:2">
      <c r="A123" s="126"/>
      <c r="B123" s="680"/>
    </row>
    <row r="124" spans="1:2">
      <c r="A124" s="126"/>
      <c r="B124" s="680"/>
    </row>
    <row r="125" spans="1:2">
      <c r="A125" s="126"/>
      <c r="B125" s="680"/>
    </row>
    <row r="126" spans="1:2">
      <c r="A126" s="126"/>
      <c r="B126" s="680"/>
    </row>
    <row r="127" spans="1:2">
      <c r="A127" s="126"/>
      <c r="B127" s="680"/>
    </row>
    <row r="128" spans="1:2">
      <c r="A128" s="126"/>
      <c r="B128" s="680"/>
    </row>
    <row r="129" spans="1:2">
      <c r="A129" s="126"/>
      <c r="B129" s="680"/>
    </row>
    <row r="130" spans="1:2">
      <c r="A130" s="126"/>
      <c r="B130" s="680"/>
    </row>
    <row r="131" spans="1:2">
      <c r="A131" s="126"/>
      <c r="B131" s="680"/>
    </row>
    <row r="132" spans="1:2">
      <c r="A132" s="126"/>
      <c r="B132" s="680"/>
    </row>
    <row r="133" spans="1:2">
      <c r="A133" s="126"/>
      <c r="B133" s="680"/>
    </row>
    <row r="134" spans="1:2">
      <c r="A134" s="126"/>
      <c r="B134" s="680"/>
    </row>
    <row r="135" spans="1:2">
      <c r="A135" s="126"/>
      <c r="B135" s="680"/>
    </row>
    <row r="136" spans="1:2">
      <c r="A136" s="126"/>
      <c r="B136" s="680"/>
    </row>
    <row r="137" spans="1:2">
      <c r="A137" s="126"/>
      <c r="B137" s="680"/>
    </row>
    <row r="138" spans="1:2">
      <c r="A138" s="126"/>
      <c r="B138" s="680"/>
    </row>
    <row r="139" spans="1:2">
      <c r="A139" s="126"/>
      <c r="B139" s="680"/>
    </row>
    <row r="140" spans="1:2">
      <c r="A140" s="126"/>
      <c r="B140" s="680"/>
    </row>
    <row r="141" spans="1:2">
      <c r="A141" s="126"/>
      <c r="B141" s="680"/>
    </row>
    <row r="142" spans="1:2">
      <c r="A142" s="126"/>
      <c r="B142" s="680"/>
    </row>
    <row r="143" spans="1:2">
      <c r="A143" s="126"/>
      <c r="B143" s="680"/>
    </row>
    <row r="144" spans="1:2">
      <c r="A144" s="126"/>
      <c r="B144" s="680"/>
    </row>
    <row r="145" spans="1:2">
      <c r="A145" s="126"/>
      <c r="B145" s="680"/>
    </row>
    <row r="146" spans="1:2">
      <c r="A146" s="126"/>
      <c r="B146" s="680"/>
    </row>
    <row r="147" spans="1:2">
      <c r="A147" s="126"/>
      <c r="B147" s="680"/>
    </row>
    <row r="148" spans="1:2">
      <c r="A148" s="126"/>
      <c r="B148" s="680"/>
    </row>
    <row r="149" spans="1:2">
      <c r="A149" s="126"/>
      <c r="B149" s="680"/>
    </row>
    <row r="150" spans="1:2">
      <c r="A150" s="126"/>
      <c r="B150" s="680"/>
    </row>
    <row r="151" spans="1:2">
      <c r="A151" s="126"/>
      <c r="B151" s="680"/>
    </row>
    <row r="152" spans="1:2">
      <c r="A152" s="126"/>
      <c r="B152" s="680"/>
    </row>
    <row r="153" spans="1:2">
      <c r="A153" s="126"/>
      <c r="B153" s="680"/>
    </row>
    <row r="154" spans="1:2">
      <c r="A154" s="126"/>
      <c r="B154" s="680"/>
    </row>
    <row r="155" spans="1:2">
      <c r="A155" s="126"/>
      <c r="B155" s="680"/>
    </row>
    <row r="156" spans="1:2">
      <c r="A156" s="126"/>
      <c r="B156" s="680"/>
    </row>
    <row r="157" spans="1:2">
      <c r="A157" s="126"/>
      <c r="B157" s="680"/>
    </row>
    <row r="158" spans="1:2">
      <c r="A158" s="126"/>
      <c r="B158" s="680"/>
    </row>
    <row r="159" spans="1:2">
      <c r="A159" s="126"/>
      <c r="B159" s="680"/>
    </row>
    <row r="160" spans="1:2">
      <c r="A160" s="126"/>
      <c r="B160" s="680"/>
    </row>
    <row r="161" spans="1:2">
      <c r="A161" s="126"/>
      <c r="B161" s="680"/>
    </row>
    <row r="162" spans="1:2">
      <c r="A162" s="126"/>
      <c r="B162" s="680"/>
    </row>
    <row r="163" spans="1:2">
      <c r="A163" s="126"/>
      <c r="B163" s="680"/>
    </row>
    <row r="164" spans="1:2">
      <c r="A164" s="126"/>
      <c r="B164" s="680"/>
    </row>
    <row r="165" spans="1:2">
      <c r="A165" s="126"/>
      <c r="B165" s="680"/>
    </row>
    <row r="166" spans="1:2">
      <c r="A166" s="126"/>
      <c r="B166" s="680"/>
    </row>
    <row r="167" spans="1:2">
      <c r="A167" s="126"/>
      <c r="B167" s="680"/>
    </row>
    <row r="168" spans="1:2">
      <c r="A168" s="126"/>
      <c r="B168" s="680"/>
    </row>
    <row r="169" spans="1:2">
      <c r="A169" s="126"/>
      <c r="B169" s="680"/>
    </row>
    <row r="170" spans="1:2">
      <c r="A170" s="126"/>
      <c r="B170" s="680"/>
    </row>
    <row r="171" spans="1:2">
      <c r="A171" s="126"/>
      <c r="B171" s="680"/>
    </row>
    <row r="172" spans="1:2">
      <c r="A172" s="126"/>
      <c r="B172" s="680"/>
    </row>
    <row r="173" spans="1:2">
      <c r="A173" s="126"/>
      <c r="B173" s="680"/>
    </row>
    <row r="174" spans="1:2">
      <c r="A174" s="126"/>
      <c r="B174" s="680"/>
    </row>
    <row r="175" spans="1:2">
      <c r="A175" s="126"/>
      <c r="B175" s="680"/>
    </row>
    <row r="176" spans="1:2">
      <c r="A176" s="126"/>
      <c r="B176" s="680"/>
    </row>
    <row r="177" spans="1:2">
      <c r="A177" s="126"/>
      <c r="B177" s="680"/>
    </row>
    <row r="178" spans="1:2">
      <c r="A178" s="126"/>
      <c r="B178" s="680"/>
    </row>
    <row r="179" spans="1:2">
      <c r="A179" s="126"/>
      <c r="B179" s="680"/>
    </row>
    <row r="180" spans="1:2">
      <c r="A180" s="126"/>
      <c r="B180" s="680"/>
    </row>
    <row r="181" spans="1:2">
      <c r="A181" s="126"/>
      <c r="B181" s="680"/>
    </row>
    <row r="182" spans="1:2">
      <c r="A182" s="126"/>
      <c r="B182" s="680"/>
    </row>
    <row r="183" spans="1:2">
      <c r="A183" s="126"/>
      <c r="B183" s="680"/>
    </row>
    <row r="184" spans="1:2">
      <c r="A184" s="126"/>
      <c r="B184" s="680"/>
    </row>
    <row r="185" spans="1:2">
      <c r="A185" s="126"/>
      <c r="B185" s="680"/>
    </row>
    <row r="186" spans="1:2">
      <c r="A186" s="126"/>
      <c r="B186" s="680"/>
    </row>
    <row r="187" spans="1:2">
      <c r="A187" s="126"/>
      <c r="B187" s="680"/>
    </row>
    <row r="188" spans="1:2">
      <c r="A188" s="126"/>
      <c r="B188" s="680"/>
    </row>
    <row r="189" spans="1:2">
      <c r="A189" s="126"/>
      <c r="B189" s="680"/>
    </row>
    <row r="190" spans="1:2">
      <c r="A190" s="126"/>
      <c r="B190" s="680"/>
    </row>
    <row r="191" spans="1:2">
      <c r="A191" s="126"/>
      <c r="B191" s="680"/>
    </row>
    <row r="192" spans="1:2">
      <c r="A192" s="126"/>
      <c r="B192" s="680"/>
    </row>
    <row r="193" spans="1:2">
      <c r="A193" s="126"/>
      <c r="B193" s="680"/>
    </row>
    <row r="194" spans="1:2">
      <c r="A194" s="126"/>
      <c r="B194" s="680"/>
    </row>
    <row r="195" spans="1:2">
      <c r="A195" s="126"/>
      <c r="B195" s="680"/>
    </row>
    <row r="196" spans="1:2">
      <c r="A196" s="126"/>
      <c r="B196" s="680"/>
    </row>
    <row r="197" spans="1:2">
      <c r="A197" s="126"/>
      <c r="B197" s="680"/>
    </row>
    <row r="198" spans="1:2">
      <c r="A198" s="126"/>
      <c r="B198" s="680"/>
    </row>
    <row r="199" spans="1:2">
      <c r="A199" s="126"/>
      <c r="B199" s="680"/>
    </row>
    <row r="200" spans="1:2">
      <c r="A200" s="126"/>
      <c r="B200" s="680"/>
    </row>
    <row r="201" spans="1:2">
      <c r="A201" s="126"/>
      <c r="B201" s="680"/>
    </row>
    <row r="202" spans="1:2">
      <c r="A202" s="126"/>
      <c r="B202" s="680"/>
    </row>
    <row r="203" spans="1:2">
      <c r="A203" s="126"/>
      <c r="B203" s="680"/>
    </row>
    <row r="204" spans="1:2">
      <c r="A204" s="126"/>
      <c r="B204" s="680"/>
    </row>
    <row r="205" spans="1:2">
      <c r="A205" s="126"/>
      <c r="B205" s="680"/>
    </row>
    <row r="206" spans="1:2">
      <c r="A206" s="126"/>
      <c r="B206" s="680"/>
    </row>
    <row r="207" spans="1:2">
      <c r="A207" s="126"/>
      <c r="B207" s="680"/>
    </row>
    <row r="208" spans="1:2">
      <c r="A208" s="126"/>
      <c r="B208" s="680"/>
    </row>
    <row r="209" spans="1:2">
      <c r="A209" s="126"/>
      <c r="B209" s="680"/>
    </row>
    <row r="210" spans="1:2">
      <c r="A210" s="126"/>
      <c r="B210" s="680"/>
    </row>
    <row r="211" spans="1:2">
      <c r="A211" s="126"/>
      <c r="B211" s="680"/>
    </row>
    <row r="212" spans="1:2">
      <c r="A212" s="126"/>
      <c r="B212" s="680"/>
    </row>
    <row r="213" spans="1:2">
      <c r="A213" s="126"/>
      <c r="B213" s="680"/>
    </row>
    <row r="214" spans="1:2">
      <c r="A214" s="126"/>
      <c r="B214" s="680"/>
    </row>
    <row r="215" spans="1:2">
      <c r="A215" s="126"/>
      <c r="B215" s="680"/>
    </row>
    <row r="216" spans="1:2">
      <c r="A216" s="126"/>
      <c r="B216" s="680"/>
    </row>
    <row r="217" spans="1:2">
      <c r="A217" s="126"/>
      <c r="B217" s="680"/>
    </row>
    <row r="218" spans="1:2">
      <c r="A218" s="126"/>
      <c r="B218" s="680"/>
    </row>
    <row r="219" spans="1:2">
      <c r="A219" s="126"/>
      <c r="B219" s="680"/>
    </row>
    <row r="220" spans="1:2">
      <c r="A220" s="126"/>
      <c r="B220" s="680"/>
    </row>
    <row r="221" spans="1:2">
      <c r="A221" s="126"/>
      <c r="B221" s="680"/>
    </row>
    <row r="222" spans="1:2">
      <c r="A222" s="126"/>
      <c r="B222" s="680"/>
    </row>
    <row r="223" spans="1:2">
      <c r="A223" s="126"/>
      <c r="B223" s="680"/>
    </row>
    <row r="224" spans="1:2">
      <c r="A224" s="126"/>
      <c r="B224" s="680"/>
    </row>
    <row r="225" spans="1:2">
      <c r="A225" s="126"/>
      <c r="B225" s="680"/>
    </row>
    <row r="226" spans="1:2">
      <c r="A226" s="126"/>
      <c r="B226" s="680"/>
    </row>
    <row r="227" spans="1:2">
      <c r="A227" s="126"/>
      <c r="B227" s="680"/>
    </row>
    <row r="228" spans="1:2">
      <c r="A228" s="126"/>
      <c r="B228" s="680"/>
    </row>
    <row r="229" spans="1:2">
      <c r="A229" s="126"/>
      <c r="B229" s="680"/>
    </row>
    <row r="230" spans="1:2">
      <c r="A230" s="126"/>
      <c r="B230" s="680"/>
    </row>
    <row r="231" spans="1:2">
      <c r="A231" s="126"/>
      <c r="B231" s="680"/>
    </row>
    <row r="232" spans="1:2">
      <c r="A232" s="126"/>
      <c r="B232" s="680"/>
    </row>
    <row r="233" spans="1:2">
      <c r="A233" s="126"/>
      <c r="B233" s="680"/>
    </row>
    <row r="234" spans="1:2">
      <c r="A234" s="126"/>
      <c r="B234" s="680"/>
    </row>
    <row r="235" spans="1:2">
      <c r="A235" s="126"/>
      <c r="B235" s="680"/>
    </row>
    <row r="236" spans="1:2">
      <c r="A236" s="126"/>
      <c r="B236" s="680"/>
    </row>
    <row r="237" spans="1:2">
      <c r="A237" s="126"/>
      <c r="B237" s="680"/>
    </row>
    <row r="238" spans="1:2">
      <c r="A238" s="126"/>
      <c r="B238" s="680"/>
    </row>
    <row r="239" spans="1:2">
      <c r="A239" s="126"/>
      <c r="B239" s="680"/>
    </row>
    <row r="240" spans="1:2">
      <c r="A240" s="126"/>
      <c r="B240" s="680"/>
    </row>
    <row r="241" spans="1:2">
      <c r="A241" s="126"/>
      <c r="B241" s="680"/>
    </row>
    <row r="242" spans="1:2">
      <c r="A242" s="126"/>
      <c r="B242" s="680"/>
    </row>
    <row r="243" spans="1:2">
      <c r="A243" s="126"/>
      <c r="B243" s="680"/>
    </row>
    <row r="244" spans="1:2">
      <c r="A244" s="126"/>
      <c r="B244" s="680"/>
    </row>
    <row r="245" spans="1:2">
      <c r="A245" s="126"/>
      <c r="B245" s="680"/>
    </row>
    <row r="246" spans="1:2">
      <c r="A246" s="126"/>
      <c r="B246" s="680"/>
    </row>
    <row r="247" spans="1:2">
      <c r="A247" s="126"/>
      <c r="B247" s="680"/>
    </row>
    <row r="248" spans="1:2">
      <c r="A248" s="126"/>
      <c r="B248" s="680"/>
    </row>
    <row r="249" spans="1:2">
      <c r="A249" s="126"/>
      <c r="B249" s="680"/>
    </row>
    <row r="250" spans="1:2">
      <c r="A250" s="126"/>
      <c r="B250" s="680"/>
    </row>
    <row r="251" spans="1:2">
      <c r="A251" s="126"/>
      <c r="B251" s="680"/>
    </row>
    <row r="252" spans="1:2">
      <c r="A252" s="126"/>
      <c r="B252" s="680"/>
    </row>
    <row r="253" spans="1:2">
      <c r="A253" s="126"/>
      <c r="B253" s="680"/>
    </row>
    <row r="254" spans="1:2">
      <c r="A254" s="126"/>
      <c r="B254" s="680"/>
    </row>
    <row r="255" spans="1:2">
      <c r="A255" s="126"/>
      <c r="B255" s="680"/>
    </row>
    <row r="256" spans="1:2">
      <c r="A256" s="126"/>
      <c r="B256" s="680"/>
    </row>
    <row r="257" spans="1:2">
      <c r="A257" s="126"/>
      <c r="B257" s="680"/>
    </row>
    <row r="258" spans="1:2">
      <c r="A258" s="126"/>
      <c r="B258" s="680"/>
    </row>
    <row r="259" spans="1:2">
      <c r="A259" s="126"/>
      <c r="B259" s="680"/>
    </row>
    <row r="260" spans="1:2">
      <c r="A260" s="126"/>
      <c r="B260" s="680"/>
    </row>
    <row r="261" spans="1:2">
      <c r="A261" s="126"/>
      <c r="B261" s="680"/>
    </row>
    <row r="262" spans="1:2">
      <c r="A262" s="126"/>
      <c r="B262" s="680"/>
    </row>
    <row r="263" spans="1:2">
      <c r="A263" s="126"/>
      <c r="B263" s="680"/>
    </row>
    <row r="264" spans="1:2">
      <c r="A264" s="126"/>
      <c r="B264" s="680"/>
    </row>
    <row r="265" spans="1:2">
      <c r="A265" s="126"/>
      <c r="B265" s="680"/>
    </row>
    <row r="266" spans="1:2">
      <c r="A266" s="126"/>
      <c r="B266" s="680"/>
    </row>
    <row r="267" spans="1:2">
      <c r="A267" s="126"/>
      <c r="B267" s="680"/>
    </row>
    <row r="268" spans="1:2">
      <c r="A268" s="126"/>
      <c r="B268" s="680"/>
    </row>
    <row r="269" spans="1:2">
      <c r="A269" s="126"/>
      <c r="B269" s="680"/>
    </row>
    <row r="270" spans="1:2">
      <c r="A270" s="126"/>
      <c r="B270" s="680"/>
    </row>
    <row r="271" spans="1:2">
      <c r="A271" s="126"/>
      <c r="B271" s="680"/>
    </row>
    <row r="272" spans="1:2">
      <c r="A272" s="126"/>
      <c r="B272" s="680"/>
    </row>
    <row r="273" spans="1:2">
      <c r="A273" s="126"/>
      <c r="B273" s="680"/>
    </row>
    <row r="274" spans="1:2">
      <c r="A274" s="126"/>
      <c r="B274" s="680"/>
    </row>
    <row r="275" spans="1:2">
      <c r="A275" s="126"/>
      <c r="B275" s="680"/>
    </row>
    <row r="276" spans="1:2">
      <c r="A276" s="126"/>
      <c r="B276" s="680"/>
    </row>
    <row r="277" spans="1:2">
      <c r="A277" s="126"/>
      <c r="B277" s="680"/>
    </row>
    <row r="278" spans="1:2">
      <c r="A278" s="126"/>
      <c r="B278" s="680"/>
    </row>
    <row r="279" spans="1:2">
      <c r="A279" s="126"/>
      <c r="B279" s="680"/>
    </row>
    <row r="280" spans="1:2">
      <c r="A280" s="126"/>
      <c r="B280" s="680"/>
    </row>
    <row r="281" spans="1:2">
      <c r="A281" s="126"/>
      <c r="B281" s="680"/>
    </row>
    <row r="282" spans="1:2">
      <c r="A282" s="126"/>
      <c r="B282" s="680"/>
    </row>
    <row r="283" spans="1:2">
      <c r="A283" s="126"/>
      <c r="B283" s="680"/>
    </row>
    <row r="284" spans="1:2">
      <c r="A284" s="126"/>
      <c r="B284" s="680"/>
    </row>
    <row r="285" spans="1:2">
      <c r="A285" s="126"/>
      <c r="B285" s="680"/>
    </row>
    <row r="286" spans="1:2">
      <c r="A286" s="126"/>
      <c r="B286" s="680"/>
    </row>
    <row r="287" spans="1:2">
      <c r="A287" s="126"/>
      <c r="B287" s="680"/>
    </row>
    <row r="288" spans="1:2">
      <c r="A288" s="126"/>
      <c r="B288" s="680"/>
    </row>
    <row r="289" spans="1:2">
      <c r="A289" s="126"/>
      <c r="B289" s="680"/>
    </row>
    <row r="290" spans="1:2">
      <c r="A290" s="126"/>
      <c r="B290" s="680"/>
    </row>
    <row r="291" spans="1:2">
      <c r="A291" s="126"/>
      <c r="B291" s="680"/>
    </row>
    <row r="292" spans="1:2">
      <c r="A292" s="126"/>
      <c r="B292" s="680"/>
    </row>
    <row r="293" spans="1:2">
      <c r="A293" s="126"/>
      <c r="B293" s="680"/>
    </row>
    <row r="294" spans="1:2">
      <c r="A294" s="126"/>
      <c r="B294" s="680"/>
    </row>
    <row r="295" spans="1:2">
      <c r="A295" s="126"/>
      <c r="B295" s="680"/>
    </row>
    <row r="296" spans="1:2">
      <c r="A296" s="126"/>
      <c r="B296" s="680"/>
    </row>
    <row r="297" spans="1:2">
      <c r="A297" s="126"/>
      <c r="B297" s="680"/>
    </row>
    <row r="298" spans="1:2">
      <c r="A298" s="126"/>
      <c r="B298" s="680"/>
    </row>
    <row r="299" spans="1:2">
      <c r="A299" s="126"/>
      <c r="B299" s="680"/>
    </row>
    <row r="300" spans="1:2">
      <c r="A300" s="126"/>
      <c r="B300" s="680"/>
    </row>
    <row r="301" spans="1:2">
      <c r="A301" s="126"/>
      <c r="B301" s="680"/>
    </row>
    <row r="302" spans="1:2">
      <c r="A302" s="126"/>
      <c r="B302" s="680"/>
    </row>
    <row r="303" spans="1:2">
      <c r="A303" s="126"/>
      <c r="B303" s="680"/>
    </row>
    <row r="304" spans="1:2">
      <c r="A304" s="126"/>
      <c r="B304" s="680"/>
    </row>
    <row r="305" spans="1:2">
      <c r="A305" s="126"/>
      <c r="B305" s="680"/>
    </row>
    <row r="306" spans="1:2">
      <c r="A306" s="126"/>
      <c r="B306" s="680"/>
    </row>
    <row r="307" spans="1:2">
      <c r="A307" s="126"/>
      <c r="B307" s="680"/>
    </row>
    <row r="308" spans="1:2">
      <c r="A308" s="126"/>
      <c r="B308" s="680"/>
    </row>
    <row r="309" spans="1:2">
      <c r="A309" s="126"/>
      <c r="B309" s="680"/>
    </row>
    <row r="310" spans="1:2">
      <c r="A310" s="126"/>
      <c r="B310" s="680"/>
    </row>
    <row r="311" spans="1:2">
      <c r="A311" s="126"/>
      <c r="B311" s="680"/>
    </row>
    <row r="312" spans="1:2">
      <c r="A312" s="126"/>
      <c r="B312" s="680"/>
    </row>
    <row r="313" spans="1:2">
      <c r="A313" s="126"/>
      <c r="B313" s="680"/>
    </row>
    <row r="314" spans="1:2">
      <c r="A314" s="126"/>
      <c r="B314" s="680"/>
    </row>
    <row r="315" spans="1:2">
      <c r="A315" s="126"/>
      <c r="B315" s="680"/>
    </row>
    <row r="316" spans="1:2">
      <c r="A316" s="126"/>
      <c r="B316" s="680"/>
    </row>
    <row r="317" spans="1:2">
      <c r="A317" s="126"/>
      <c r="B317" s="680"/>
    </row>
    <row r="318" spans="1:2">
      <c r="A318" s="126"/>
      <c r="B318" s="680"/>
    </row>
    <row r="319" spans="1:2">
      <c r="A319" s="126"/>
      <c r="B319" s="680"/>
    </row>
    <row r="320" spans="1:2">
      <c r="A320" s="126"/>
      <c r="B320" s="680"/>
    </row>
    <row r="321" spans="1:2">
      <c r="A321" s="126"/>
      <c r="B321" s="680"/>
    </row>
    <row r="322" spans="1:2">
      <c r="A322" s="126"/>
      <c r="B322" s="680"/>
    </row>
    <row r="323" spans="1:2">
      <c r="A323" s="126"/>
      <c r="B323" s="680"/>
    </row>
    <row r="324" spans="1:2">
      <c r="A324" s="126"/>
      <c r="B324" s="680"/>
    </row>
    <row r="325" spans="1:2">
      <c r="A325" s="126"/>
      <c r="B325" s="680"/>
    </row>
    <row r="326" spans="1:2">
      <c r="A326" s="126"/>
      <c r="B326" s="680"/>
    </row>
    <row r="327" spans="1:2">
      <c r="A327" s="126"/>
      <c r="B327" s="680"/>
    </row>
    <row r="328" spans="1:2">
      <c r="A328" s="126"/>
      <c r="B328" s="680"/>
    </row>
    <row r="329" spans="1:2">
      <c r="A329" s="126"/>
      <c r="B329" s="680"/>
    </row>
    <row r="330" spans="1:2">
      <c r="A330" s="126"/>
      <c r="B330" s="680"/>
    </row>
    <row r="331" spans="1:2">
      <c r="A331" s="126"/>
      <c r="B331" s="680"/>
    </row>
    <row r="332" spans="1:2">
      <c r="A332" s="126"/>
      <c r="B332" s="680"/>
    </row>
    <row r="333" spans="1:2">
      <c r="A333" s="126"/>
      <c r="B333" s="680"/>
    </row>
    <row r="334" spans="1:2">
      <c r="A334" s="126"/>
      <c r="B334" s="680"/>
    </row>
    <row r="335" spans="1:2">
      <c r="A335" s="126"/>
      <c r="B335" s="680"/>
    </row>
    <row r="336" spans="1:2">
      <c r="A336" s="126"/>
      <c r="B336" s="680"/>
    </row>
    <row r="337" spans="1:2">
      <c r="A337" s="126"/>
      <c r="B337" s="680"/>
    </row>
    <row r="338" spans="1:2">
      <c r="A338" s="126"/>
      <c r="B338" s="680"/>
    </row>
    <row r="339" spans="1:2">
      <c r="A339" s="126"/>
      <c r="B339" s="680"/>
    </row>
    <row r="340" spans="1:2">
      <c r="A340" s="126"/>
      <c r="B340" s="680"/>
    </row>
    <row r="341" spans="1:2">
      <c r="A341" s="126"/>
      <c r="B341" s="680"/>
    </row>
    <row r="342" spans="1:2">
      <c r="A342" s="126"/>
      <c r="B342" s="680"/>
    </row>
    <row r="343" spans="1:2">
      <c r="A343" s="126"/>
      <c r="B343" s="680"/>
    </row>
    <row r="344" spans="1:2">
      <c r="A344" s="126"/>
      <c r="B344" s="680"/>
    </row>
    <row r="345" spans="1:2">
      <c r="A345" s="126"/>
      <c r="B345" s="680"/>
    </row>
    <row r="346" spans="1:2">
      <c r="A346" s="126"/>
      <c r="B346" s="680"/>
    </row>
    <row r="347" spans="1:2">
      <c r="A347" s="126"/>
      <c r="B347" s="680"/>
    </row>
    <row r="348" spans="1:2">
      <c r="A348" s="126"/>
      <c r="B348" s="680"/>
    </row>
    <row r="349" spans="1:2">
      <c r="A349" s="126"/>
      <c r="B349" s="680"/>
    </row>
    <row r="350" spans="1:2">
      <c r="A350" s="126"/>
      <c r="B350" s="680"/>
    </row>
    <row r="351" spans="1:2">
      <c r="A351" s="126"/>
      <c r="B351" s="680"/>
    </row>
    <row r="352" spans="1:2">
      <c r="A352" s="126"/>
      <c r="B352" s="680"/>
    </row>
    <row r="353" spans="1:2">
      <c r="A353" s="126"/>
      <c r="B353" s="680"/>
    </row>
    <row r="354" spans="1:2">
      <c r="A354" s="126"/>
      <c r="B354" s="680"/>
    </row>
    <row r="355" spans="1:2">
      <c r="A355" s="126"/>
      <c r="B355" s="680"/>
    </row>
    <row r="356" spans="1:2">
      <c r="A356" s="126"/>
      <c r="B356" s="680"/>
    </row>
    <row r="357" spans="1:2">
      <c r="A357" s="126"/>
      <c r="B357" s="680"/>
    </row>
    <row r="358" spans="1:2">
      <c r="A358" s="126"/>
      <c r="B358" s="680"/>
    </row>
    <row r="359" spans="1:2">
      <c r="A359" s="126"/>
      <c r="B359" s="680"/>
    </row>
    <row r="360" spans="1:2">
      <c r="A360" s="126"/>
      <c r="B360" s="680"/>
    </row>
    <row r="361" spans="1:2">
      <c r="A361" s="126"/>
      <c r="B361" s="680"/>
    </row>
    <row r="362" spans="1:2">
      <c r="A362" s="126"/>
      <c r="B362" s="680"/>
    </row>
    <row r="363" spans="1:2">
      <c r="A363" s="126"/>
      <c r="B363" s="680"/>
    </row>
    <row r="364" spans="1:2">
      <c r="A364" s="126"/>
      <c r="B364" s="680"/>
    </row>
    <row r="365" spans="1:2">
      <c r="A365" s="126"/>
      <c r="B365" s="680"/>
    </row>
    <row r="366" spans="1:2">
      <c r="A366" s="126"/>
      <c r="B366" s="680"/>
    </row>
    <row r="367" spans="1:2">
      <c r="A367" s="126"/>
      <c r="B367" s="680"/>
    </row>
    <row r="368" spans="1:2">
      <c r="A368" s="126"/>
      <c r="B368" s="680"/>
    </row>
    <row r="369" spans="1:2">
      <c r="A369" s="126"/>
      <c r="B369" s="680"/>
    </row>
    <row r="370" spans="1:2">
      <c r="A370" s="126"/>
      <c r="B370" s="680"/>
    </row>
    <row r="371" spans="1:2">
      <c r="A371" s="126"/>
      <c r="B371" s="680"/>
    </row>
    <row r="372" spans="1:2">
      <c r="A372" s="126"/>
      <c r="B372" s="680"/>
    </row>
    <row r="373" spans="1:2">
      <c r="A373" s="126"/>
      <c r="B373" s="680"/>
    </row>
    <row r="374" spans="1:2">
      <c r="A374" s="126"/>
      <c r="B374" s="680"/>
    </row>
    <row r="375" spans="1:2">
      <c r="A375" s="126"/>
      <c r="B375" s="680"/>
    </row>
    <row r="376" spans="1:2">
      <c r="A376" s="126"/>
      <c r="B376" s="680"/>
    </row>
    <row r="377" spans="1:2">
      <c r="A377" s="126"/>
      <c r="B377" s="680"/>
    </row>
    <row r="378" spans="1:2">
      <c r="A378" s="126"/>
      <c r="B378" s="680"/>
    </row>
    <row r="379" spans="1:2">
      <c r="A379" s="126"/>
      <c r="B379" s="680"/>
    </row>
    <row r="380" spans="1:2">
      <c r="A380" s="126"/>
      <c r="B380" s="680"/>
    </row>
    <row r="381" spans="1:2">
      <c r="A381" s="126"/>
      <c r="B381" s="680"/>
    </row>
    <row r="382" spans="1:2">
      <c r="A382" s="126"/>
      <c r="B382" s="680"/>
    </row>
    <row r="383" spans="1:2">
      <c r="A383" s="126"/>
      <c r="B383" s="680"/>
    </row>
    <row r="384" spans="1:2">
      <c r="A384" s="126"/>
      <c r="B384" s="680"/>
    </row>
    <row r="385" spans="1:2">
      <c r="A385" s="126"/>
      <c r="B385" s="680"/>
    </row>
    <row r="386" spans="1:2">
      <c r="A386" s="126"/>
      <c r="B386" s="680"/>
    </row>
    <row r="387" spans="1:2">
      <c r="A387" s="126"/>
      <c r="B387" s="680"/>
    </row>
    <row r="388" spans="1:2">
      <c r="A388" s="126"/>
      <c r="B388" s="680"/>
    </row>
    <row r="389" spans="1:2">
      <c r="A389" s="126"/>
      <c r="B389" s="680"/>
    </row>
    <row r="390" spans="1:2">
      <c r="A390" s="126"/>
      <c r="B390" s="680"/>
    </row>
    <row r="391" spans="1:2">
      <c r="A391" s="126"/>
      <c r="B391" s="680"/>
    </row>
    <row r="392" spans="1:2">
      <c r="A392" s="126"/>
      <c r="B392" s="680"/>
    </row>
    <row r="393" spans="1:2">
      <c r="A393" s="126"/>
      <c r="B393" s="680"/>
    </row>
    <row r="394" spans="1:2">
      <c r="A394" s="126"/>
      <c r="B394" s="680"/>
    </row>
    <row r="395" spans="1:2">
      <c r="A395" s="126"/>
      <c r="B395" s="680"/>
    </row>
    <row r="396" spans="1:2">
      <c r="A396" s="126"/>
      <c r="B396" s="680"/>
    </row>
    <row r="397" spans="1:2">
      <c r="A397" s="126"/>
      <c r="B397" s="680"/>
    </row>
    <row r="398" spans="1:2">
      <c r="A398" s="126"/>
      <c r="B398" s="680"/>
    </row>
    <row r="399" spans="1:2">
      <c r="A399" s="126"/>
      <c r="B399" s="680"/>
    </row>
    <row r="400" spans="1:2">
      <c r="A400" s="126"/>
      <c r="B400" s="680"/>
    </row>
    <row r="401" spans="1:2">
      <c r="A401" s="126"/>
      <c r="B401" s="680"/>
    </row>
    <row r="402" spans="1:2">
      <c r="A402" s="126"/>
      <c r="B402" s="680"/>
    </row>
    <row r="403" spans="1:2">
      <c r="A403" s="126"/>
      <c r="B403" s="680"/>
    </row>
    <row r="404" spans="1:2">
      <c r="A404" s="126"/>
      <c r="B404" s="680"/>
    </row>
    <row r="405" spans="1:2">
      <c r="A405" s="126"/>
      <c r="B405" s="680"/>
    </row>
    <row r="406" spans="1:2">
      <c r="A406" s="126"/>
      <c r="B406" s="680"/>
    </row>
    <row r="407" spans="1:2">
      <c r="A407" s="126"/>
      <c r="B407" s="680"/>
    </row>
    <row r="408" spans="1:2">
      <c r="A408" s="126"/>
      <c r="B408" s="680"/>
    </row>
    <row r="409" spans="1:2">
      <c r="A409" s="126"/>
      <c r="B409" s="680"/>
    </row>
    <row r="410" spans="1:2">
      <c r="A410" s="126"/>
      <c r="B410" s="680"/>
    </row>
    <row r="411" spans="1:2">
      <c r="A411" s="126"/>
      <c r="B411" s="680"/>
    </row>
    <row r="412" spans="1:2">
      <c r="A412" s="126"/>
      <c r="B412" s="680"/>
    </row>
    <row r="413" spans="1:2">
      <c r="A413" s="126"/>
      <c r="B413" s="680"/>
    </row>
    <row r="414" spans="1:2">
      <c r="A414" s="126"/>
      <c r="B414" s="680"/>
    </row>
    <row r="415" spans="1:2">
      <c r="A415" s="126"/>
      <c r="B415" s="680"/>
    </row>
    <row r="416" spans="1:2">
      <c r="A416" s="126"/>
      <c r="B416" s="680"/>
    </row>
    <row r="417" spans="1:2">
      <c r="A417" s="126"/>
      <c r="B417" s="680"/>
    </row>
    <row r="418" spans="1:2">
      <c r="A418" s="126"/>
      <c r="B418" s="680"/>
    </row>
    <row r="419" spans="1:2">
      <c r="A419" s="126"/>
      <c r="B419" s="680"/>
    </row>
    <row r="420" spans="1:2">
      <c r="A420" s="126"/>
      <c r="B420" s="680"/>
    </row>
    <row r="421" spans="1:2">
      <c r="A421" s="126"/>
      <c r="B421" s="680"/>
    </row>
    <row r="422" spans="1:2">
      <c r="A422" s="126"/>
      <c r="B422" s="680"/>
    </row>
    <row r="423" spans="1:2">
      <c r="A423" s="126"/>
      <c r="B423" s="680"/>
    </row>
    <row r="424" spans="1:2">
      <c r="A424" s="126"/>
      <c r="B424" s="680"/>
    </row>
    <row r="425" spans="1:2">
      <c r="A425" s="126"/>
      <c r="B425" s="680"/>
    </row>
    <row r="426" spans="1:2">
      <c r="A426" s="126"/>
      <c r="B426" s="680"/>
    </row>
    <row r="427" spans="1:2">
      <c r="A427" s="126"/>
      <c r="B427" s="680"/>
    </row>
    <row r="428" spans="1:2">
      <c r="A428" s="126"/>
      <c r="B428" s="680"/>
    </row>
    <row r="429" spans="1:2">
      <c r="A429" s="126"/>
      <c r="B429" s="680"/>
    </row>
    <row r="430" spans="1:2">
      <c r="A430" s="126"/>
      <c r="B430" s="680"/>
    </row>
    <row r="431" spans="1:2">
      <c r="A431" s="126"/>
      <c r="B431" s="680"/>
    </row>
    <row r="432" spans="1:2">
      <c r="A432" s="126"/>
      <c r="B432" s="680"/>
    </row>
    <row r="433" spans="1:2">
      <c r="A433" s="126"/>
      <c r="B433" s="680"/>
    </row>
    <row r="434" spans="1:2">
      <c r="A434" s="126"/>
      <c r="B434" s="680"/>
    </row>
    <row r="435" spans="1:2">
      <c r="A435" s="126"/>
      <c r="B435" s="680"/>
    </row>
    <row r="436" spans="1:2">
      <c r="A436" s="126"/>
      <c r="B436" s="680"/>
    </row>
    <row r="437" spans="1:2">
      <c r="A437" s="126"/>
      <c r="B437" s="680"/>
    </row>
    <row r="438" spans="1:2">
      <c r="A438" s="126"/>
      <c r="B438" s="680"/>
    </row>
    <row r="439" spans="1:2">
      <c r="A439" s="126"/>
      <c r="B439" s="680"/>
    </row>
    <row r="440" spans="1:2">
      <c r="A440" s="126"/>
      <c r="B440" s="680"/>
    </row>
    <row r="441" spans="1:2">
      <c r="A441" s="126"/>
      <c r="B441" s="680"/>
    </row>
    <row r="442" spans="1:2">
      <c r="A442" s="126"/>
      <c r="B442" s="680"/>
    </row>
    <row r="443" spans="1:2">
      <c r="A443" s="126"/>
      <c r="B443" s="680"/>
    </row>
    <row r="444" spans="1:2">
      <c r="A444" s="126"/>
      <c r="B444" s="680"/>
    </row>
    <row r="445" spans="1:2">
      <c r="A445" s="126"/>
      <c r="B445" s="680"/>
    </row>
    <row r="446" spans="1:2">
      <c r="A446" s="126"/>
      <c r="B446" s="680"/>
    </row>
    <row r="447" spans="1:2">
      <c r="A447" s="126"/>
      <c r="B447" s="680"/>
    </row>
    <row r="448" spans="1:2">
      <c r="A448" s="126"/>
      <c r="B448" s="680"/>
    </row>
    <row r="449" spans="1:2">
      <c r="A449" s="126"/>
      <c r="B449" s="680"/>
    </row>
    <row r="450" spans="1:2">
      <c r="A450" s="126"/>
      <c r="B450" s="680"/>
    </row>
    <row r="451" spans="1:2">
      <c r="A451" s="126"/>
      <c r="B451" s="680"/>
    </row>
    <row r="452" spans="1:2">
      <c r="A452" s="126"/>
      <c r="B452" s="680"/>
    </row>
    <row r="453" spans="1:2">
      <c r="A453" s="126"/>
      <c r="B453" s="680"/>
    </row>
    <row r="454" spans="1:2">
      <c r="A454" s="126"/>
      <c r="B454" s="680"/>
    </row>
    <row r="455" spans="1:2">
      <c r="A455" s="126"/>
      <c r="B455" s="680"/>
    </row>
    <row r="456" spans="1:2">
      <c r="A456" s="126"/>
      <c r="B456" s="680"/>
    </row>
    <row r="457" spans="1:2">
      <c r="A457" s="126"/>
      <c r="B457" s="680"/>
    </row>
    <row r="458" spans="1:2">
      <c r="A458" s="126"/>
      <c r="B458" s="680"/>
    </row>
    <row r="459" spans="1:2">
      <c r="A459" s="126"/>
      <c r="B459" s="680"/>
    </row>
    <row r="460" spans="1:2">
      <c r="A460" s="126"/>
      <c r="B460" s="680"/>
    </row>
    <row r="461" spans="1:2">
      <c r="A461" s="126"/>
      <c r="B461" s="680"/>
    </row>
    <row r="462" spans="1:2">
      <c r="A462" s="126"/>
      <c r="B462" s="680"/>
    </row>
    <row r="463" spans="1:2">
      <c r="A463" s="126"/>
      <c r="B463" s="680"/>
    </row>
    <row r="464" spans="1:2">
      <c r="A464" s="126"/>
      <c r="B464" s="680"/>
    </row>
    <row r="465" spans="1:2">
      <c r="A465" s="126"/>
      <c r="B465" s="680"/>
    </row>
    <row r="466" spans="1:2">
      <c r="A466" s="126"/>
      <c r="B466" s="680"/>
    </row>
    <row r="467" spans="1:2">
      <c r="A467" s="126"/>
      <c r="B467" s="680"/>
    </row>
    <row r="468" spans="1:2">
      <c r="A468" s="126"/>
      <c r="B468" s="680"/>
    </row>
    <row r="469" spans="1:2">
      <c r="A469" s="126"/>
      <c r="B469" s="680"/>
    </row>
    <row r="470" spans="1:2">
      <c r="A470" s="126"/>
      <c r="B470" s="680"/>
    </row>
    <row r="471" spans="1:2">
      <c r="A471" s="126"/>
      <c r="B471" s="680"/>
    </row>
    <row r="472" spans="1:2">
      <c r="A472" s="126"/>
      <c r="B472" s="680"/>
    </row>
    <row r="473" spans="1:2">
      <c r="A473" s="126"/>
      <c r="B473" s="680"/>
    </row>
    <row r="474" spans="1:2">
      <c r="A474" s="126"/>
      <c r="B474" s="680"/>
    </row>
    <row r="475" spans="1:2">
      <c r="A475" s="126"/>
      <c r="B475" s="680"/>
    </row>
    <row r="476" spans="1:2">
      <c r="A476" s="126"/>
      <c r="B476" s="680"/>
    </row>
    <row r="477" spans="1:2">
      <c r="A477" s="126"/>
      <c r="B477" s="680"/>
    </row>
    <row r="478" spans="1:2">
      <c r="A478" s="126"/>
      <c r="B478" s="680"/>
    </row>
    <row r="479" spans="1:2">
      <c r="A479" s="126"/>
      <c r="B479" s="680"/>
    </row>
    <row r="480" spans="1:2">
      <c r="A480" s="126"/>
      <c r="B480" s="680"/>
    </row>
    <row r="481" spans="1:2">
      <c r="A481" s="126"/>
      <c r="B481" s="680"/>
    </row>
    <row r="482" spans="1:2">
      <c r="A482" s="126"/>
      <c r="B482" s="680"/>
    </row>
    <row r="483" spans="1:2">
      <c r="A483" s="126"/>
      <c r="B483" s="680"/>
    </row>
    <row r="484" spans="1:2">
      <c r="A484" s="126"/>
      <c r="B484" s="680"/>
    </row>
    <row r="485" spans="1:2">
      <c r="A485" s="126"/>
      <c r="B485" s="680"/>
    </row>
    <row r="486" spans="1:2">
      <c r="A486" s="126"/>
      <c r="B486" s="680"/>
    </row>
    <row r="487" spans="1:2">
      <c r="A487" s="126"/>
      <c r="B487" s="680"/>
    </row>
    <row r="488" spans="1:2">
      <c r="A488" s="126"/>
      <c r="B488" s="680"/>
    </row>
    <row r="489" spans="1:2">
      <c r="A489" s="126"/>
      <c r="B489" s="680"/>
    </row>
    <row r="490" spans="1:2">
      <c r="A490" s="126"/>
      <c r="B490" s="680"/>
    </row>
    <row r="491" spans="1:2">
      <c r="A491" s="126"/>
      <c r="B491" s="680"/>
    </row>
    <row r="492" spans="1:2">
      <c r="A492" s="126"/>
      <c r="B492" s="680"/>
    </row>
    <row r="493" spans="1:2">
      <c r="A493" s="126"/>
      <c r="B493" s="680"/>
    </row>
    <row r="494" spans="1:2">
      <c r="A494" s="126"/>
      <c r="B494" s="680"/>
    </row>
    <row r="495" spans="1:2">
      <c r="A495" s="126"/>
      <c r="B495" s="680"/>
    </row>
    <row r="496" spans="1:2">
      <c r="A496" s="126"/>
      <c r="B496" s="680"/>
    </row>
    <row r="497" spans="1:2">
      <c r="A497" s="126"/>
      <c r="B497" s="680"/>
    </row>
    <row r="498" spans="1:2">
      <c r="A498" s="126"/>
      <c r="B498" s="680"/>
    </row>
    <row r="499" spans="1:2">
      <c r="A499" s="126"/>
      <c r="B499" s="680"/>
    </row>
    <row r="500" spans="1:2">
      <c r="A500" s="126"/>
      <c r="B500" s="680"/>
    </row>
    <row r="501" spans="1:2">
      <c r="A501" s="126"/>
      <c r="B501" s="680"/>
    </row>
    <row r="502" spans="1:2">
      <c r="A502" s="126"/>
      <c r="B502" s="680"/>
    </row>
    <row r="503" spans="1:2">
      <c r="A503" s="126"/>
      <c r="B503" s="680"/>
    </row>
    <row r="504" spans="1:2">
      <c r="A504" s="126"/>
      <c r="B504" s="680"/>
    </row>
    <row r="505" spans="1:2">
      <c r="A505" s="126"/>
      <c r="B505" s="680"/>
    </row>
    <row r="506" spans="1:2">
      <c r="A506" s="126"/>
      <c r="B506" s="680"/>
    </row>
    <row r="507" spans="1:2">
      <c r="A507" s="126"/>
      <c r="B507" s="680"/>
    </row>
    <row r="508" spans="1:2">
      <c r="A508" s="126"/>
      <c r="B508" s="680"/>
    </row>
    <row r="509" spans="1:2">
      <c r="A509" s="126"/>
      <c r="B509" s="680"/>
    </row>
    <row r="510" spans="1:2">
      <c r="A510" s="126"/>
      <c r="B510" s="680"/>
    </row>
    <row r="511" spans="1:2">
      <c r="A511" s="126"/>
      <c r="B511" s="680"/>
    </row>
    <row r="512" spans="1:2">
      <c r="A512" s="126"/>
      <c r="B512" s="680"/>
    </row>
    <row r="513" spans="1:2">
      <c r="A513" s="126"/>
      <c r="B513" s="680"/>
    </row>
    <row r="514" spans="1:2">
      <c r="A514" s="126"/>
      <c r="B514" s="680"/>
    </row>
    <row r="515" spans="1:2">
      <c r="A515" s="126"/>
      <c r="B515" s="680"/>
    </row>
    <row r="516" spans="1:2">
      <c r="A516" s="126"/>
      <c r="B516" s="680"/>
    </row>
    <row r="517" spans="1:2">
      <c r="A517" s="126"/>
      <c r="B517" s="680"/>
    </row>
    <row r="518" spans="1:2">
      <c r="A518" s="126"/>
      <c r="B518" s="680"/>
    </row>
    <row r="519" spans="1:2">
      <c r="A519" s="126"/>
      <c r="B519" s="680"/>
    </row>
    <row r="520" spans="1:2">
      <c r="A520" s="126"/>
      <c r="B520" s="680"/>
    </row>
    <row r="521" spans="1:2">
      <c r="A521" s="126"/>
      <c r="B521" s="680"/>
    </row>
    <row r="522" spans="1:2">
      <c r="A522" s="126"/>
      <c r="B522" s="680"/>
    </row>
    <row r="523" spans="1:2">
      <c r="A523" s="126"/>
      <c r="B523" s="680"/>
    </row>
    <row r="524" spans="1:2">
      <c r="A524" s="126"/>
      <c r="B524" s="680"/>
    </row>
    <row r="525" spans="1:2">
      <c r="A525" s="126"/>
      <c r="B525" s="680"/>
    </row>
    <row r="526" spans="1:2">
      <c r="A526" s="126"/>
      <c r="B526" s="680"/>
    </row>
    <row r="527" spans="1:2">
      <c r="A527" s="126"/>
      <c r="B527" s="680"/>
    </row>
    <row r="528" spans="1:2">
      <c r="A528" s="126"/>
      <c r="B528" s="680"/>
    </row>
    <row r="529" spans="1:2">
      <c r="A529" s="126"/>
      <c r="B529" s="680"/>
    </row>
    <row r="530" spans="1:2">
      <c r="A530" s="126"/>
      <c r="B530" s="680"/>
    </row>
    <row r="531" spans="1:2">
      <c r="A531" s="126"/>
      <c r="B531" s="680"/>
    </row>
    <row r="532" spans="1:2">
      <c r="A532" s="126"/>
      <c r="B532" s="680"/>
    </row>
    <row r="533" spans="1:2">
      <c r="A533" s="126"/>
      <c r="B533" s="680"/>
    </row>
    <row r="534" spans="1:2">
      <c r="A534" s="126"/>
      <c r="B534" s="680"/>
    </row>
    <row r="535" spans="1:2">
      <c r="A535" s="126"/>
      <c r="B535" s="680"/>
    </row>
    <row r="536" spans="1:2">
      <c r="A536" s="126"/>
      <c r="B536" s="680"/>
    </row>
    <row r="537" spans="1:2">
      <c r="A537" s="126"/>
      <c r="B537" s="680"/>
    </row>
    <row r="538" spans="1:2">
      <c r="A538" s="126"/>
      <c r="B538" s="680"/>
    </row>
    <row r="539" spans="1:2">
      <c r="A539" s="126"/>
      <c r="B539" s="680"/>
    </row>
    <row r="540" spans="1:2">
      <c r="A540" s="126"/>
      <c r="B540" s="680"/>
    </row>
    <row r="541" spans="1:2">
      <c r="A541" s="126"/>
      <c r="B541" s="680"/>
    </row>
    <row r="542" spans="1:2">
      <c r="A542" s="126"/>
      <c r="B542" s="680"/>
    </row>
    <row r="543" spans="1:2">
      <c r="A543" s="126"/>
      <c r="B543" s="680"/>
    </row>
    <row r="544" spans="1:2">
      <c r="A544" s="126"/>
      <c r="B544" s="680"/>
    </row>
    <row r="545" spans="1:2">
      <c r="A545" s="126"/>
      <c r="B545" s="680"/>
    </row>
    <row r="546" spans="1:2">
      <c r="A546" s="126"/>
      <c r="B546" s="680"/>
    </row>
    <row r="547" spans="1:2">
      <c r="A547" s="126"/>
      <c r="B547" s="680"/>
    </row>
    <row r="548" spans="1:2">
      <c r="A548" s="126"/>
      <c r="B548" s="680"/>
    </row>
    <row r="549" spans="1:2">
      <c r="A549" s="126"/>
      <c r="B549" s="680"/>
    </row>
    <row r="550" spans="1:2">
      <c r="A550" s="126"/>
      <c r="B550" s="680"/>
    </row>
    <row r="551" spans="1:2">
      <c r="A551" s="126"/>
      <c r="B551" s="680"/>
    </row>
    <row r="552" spans="1:2">
      <c r="A552" s="126"/>
      <c r="B552" s="680"/>
    </row>
    <row r="553" spans="1:2">
      <c r="A553" s="126"/>
      <c r="B553" s="680"/>
    </row>
    <row r="554" spans="1:2">
      <c r="A554" s="126"/>
      <c r="B554" s="680"/>
    </row>
    <row r="555" spans="1:2">
      <c r="A555" s="126"/>
      <c r="B555" s="680"/>
    </row>
    <row r="556" spans="1:2">
      <c r="A556" s="126"/>
      <c r="B556" s="680"/>
    </row>
    <row r="557" spans="1:2">
      <c r="A557" s="126"/>
      <c r="B557" s="680"/>
    </row>
    <row r="558" spans="1:2">
      <c r="A558" s="126"/>
      <c r="B558" s="680"/>
    </row>
    <row r="559" spans="1:2">
      <c r="A559" s="126"/>
      <c r="B559" s="680"/>
    </row>
    <row r="560" spans="1:2">
      <c r="A560" s="126"/>
      <c r="B560" s="680"/>
    </row>
    <row r="561" spans="1:2">
      <c r="A561" s="126"/>
      <c r="B561" s="680"/>
    </row>
    <row r="562" spans="1:2">
      <c r="A562" s="126"/>
      <c r="B562" s="680"/>
    </row>
    <row r="563" spans="1:2">
      <c r="A563" s="126"/>
      <c r="B563" s="680"/>
    </row>
    <row r="564" spans="1:2">
      <c r="A564" s="126"/>
      <c r="B564" s="680"/>
    </row>
    <row r="565" spans="1:2">
      <c r="A565" s="126"/>
      <c r="B565" s="680"/>
    </row>
    <row r="566" spans="1:2">
      <c r="A566" s="126"/>
      <c r="B566" s="680"/>
    </row>
    <row r="567" spans="1:2">
      <c r="A567" s="126"/>
      <c r="B567" s="680"/>
    </row>
    <row r="568" spans="1:2">
      <c r="A568" s="126"/>
      <c r="B568" s="680"/>
    </row>
    <row r="569" spans="1:2">
      <c r="A569" s="126"/>
      <c r="B569" s="680"/>
    </row>
    <row r="570" spans="1:2">
      <c r="A570" s="126"/>
      <c r="B570" s="680"/>
    </row>
    <row r="571" spans="1:2">
      <c r="A571" s="126"/>
      <c r="B571" s="680"/>
    </row>
    <row r="572" spans="1:2">
      <c r="A572" s="126"/>
      <c r="B572" s="680"/>
    </row>
    <row r="573" spans="1:2">
      <c r="A573" s="126"/>
      <c r="B573" s="680"/>
    </row>
    <row r="574" spans="1:2">
      <c r="A574" s="126"/>
      <c r="B574" s="680"/>
    </row>
    <row r="575" spans="1:2">
      <c r="A575" s="126"/>
      <c r="B575" s="680"/>
    </row>
    <row r="576" spans="1:2">
      <c r="A576" s="126"/>
      <c r="B576" s="680"/>
    </row>
    <row r="577" spans="1:2">
      <c r="A577" s="126"/>
      <c r="B577" s="680"/>
    </row>
    <row r="578" spans="1:2">
      <c r="A578" s="126"/>
      <c r="B578" s="680"/>
    </row>
    <row r="579" spans="1:2">
      <c r="A579" s="126"/>
      <c r="B579" s="680"/>
    </row>
    <row r="580" spans="1:2">
      <c r="A580" s="126"/>
      <c r="B580" s="680"/>
    </row>
    <row r="581" spans="1:2">
      <c r="A581" s="126"/>
      <c r="B581" s="680"/>
    </row>
    <row r="582" spans="1:2">
      <c r="A582" s="126"/>
      <c r="B582" s="680"/>
    </row>
    <row r="583" spans="1:2">
      <c r="A583" s="126"/>
      <c r="B583" s="680"/>
    </row>
    <row r="584" spans="1:2">
      <c r="A584" s="126"/>
      <c r="B584" s="680"/>
    </row>
    <row r="585" spans="1:2">
      <c r="A585" s="126"/>
      <c r="B585" s="680"/>
    </row>
    <row r="586" spans="1:2">
      <c r="A586" s="126"/>
      <c r="B586" s="680"/>
    </row>
    <row r="587" spans="1:2">
      <c r="A587" s="126"/>
      <c r="B587" s="680"/>
    </row>
    <row r="588" spans="1:2">
      <c r="A588" s="126"/>
      <c r="B588" s="680"/>
    </row>
    <row r="589" spans="1:2">
      <c r="A589" s="126"/>
      <c r="B589" s="680"/>
    </row>
    <row r="590" spans="1:2">
      <c r="A590" s="126"/>
      <c r="B590" s="680"/>
    </row>
    <row r="591" spans="1:2">
      <c r="A591" s="126"/>
      <c r="B591" s="680"/>
    </row>
    <row r="592" spans="1:2">
      <c r="A592" s="126"/>
      <c r="B592" s="680"/>
    </row>
    <row r="593" spans="1:2">
      <c r="A593" s="126"/>
      <c r="B593" s="680"/>
    </row>
    <row r="594" spans="1:2">
      <c r="A594" s="126"/>
      <c r="B594" s="680"/>
    </row>
    <row r="595" spans="1:2">
      <c r="A595" s="126"/>
      <c r="B595" s="680"/>
    </row>
    <row r="596" spans="1:2">
      <c r="A596" s="126"/>
      <c r="B596" s="680"/>
    </row>
    <row r="597" spans="1:2">
      <c r="A597" s="126"/>
      <c r="B597" s="680"/>
    </row>
    <row r="598" spans="1:2">
      <c r="A598" s="126"/>
      <c r="B598" s="680"/>
    </row>
    <row r="599" spans="1:2">
      <c r="A599" s="126"/>
      <c r="B599" s="680"/>
    </row>
    <row r="600" spans="1:2">
      <c r="A600" s="126"/>
      <c r="B600" s="680"/>
    </row>
    <row r="601" spans="1:2">
      <c r="A601" s="126"/>
      <c r="B601" s="680"/>
    </row>
    <row r="602" spans="1:2">
      <c r="A602" s="126"/>
      <c r="B602" s="680"/>
    </row>
    <row r="603" spans="1:2">
      <c r="A603" s="126"/>
      <c r="B603" s="680"/>
    </row>
    <row r="604" spans="1:2">
      <c r="A604" s="126"/>
      <c r="B604" s="680"/>
    </row>
    <row r="605" spans="1:2">
      <c r="A605" s="126"/>
      <c r="B605" s="680"/>
    </row>
    <row r="606" spans="1:2">
      <c r="A606" s="126"/>
      <c r="B606" s="680"/>
    </row>
    <row r="607" spans="1:2">
      <c r="A607" s="126"/>
      <c r="B607" s="680"/>
    </row>
    <row r="608" spans="1:2">
      <c r="A608" s="126"/>
      <c r="B608" s="680"/>
    </row>
    <row r="609" spans="1:2">
      <c r="A609" s="126"/>
      <c r="B609" s="680"/>
    </row>
    <row r="610" spans="1:2">
      <c r="A610" s="126"/>
      <c r="B610" s="680"/>
    </row>
    <row r="611" spans="1:2">
      <c r="A611" s="126"/>
      <c r="B611" s="680"/>
    </row>
    <row r="612" spans="1:2">
      <c r="A612" s="126"/>
      <c r="B612" s="680"/>
    </row>
    <row r="613" spans="1:2">
      <c r="A613" s="126"/>
      <c r="B613" s="680"/>
    </row>
    <row r="614" spans="1:2">
      <c r="A614" s="126"/>
      <c r="B614" s="680"/>
    </row>
    <row r="615" spans="1:2">
      <c r="A615" s="126"/>
      <c r="B615" s="680"/>
    </row>
    <row r="616" spans="1:2">
      <c r="A616" s="126"/>
      <c r="B616" s="680"/>
    </row>
    <row r="617" spans="1:2">
      <c r="A617" s="126"/>
      <c r="B617" s="680"/>
    </row>
    <row r="618" spans="1:2">
      <c r="A618" s="126"/>
      <c r="B618" s="680"/>
    </row>
    <row r="619" spans="1:2">
      <c r="A619" s="126"/>
      <c r="B619" s="680"/>
    </row>
    <row r="620" spans="1:2">
      <c r="A620" s="126"/>
      <c r="B620" s="680"/>
    </row>
    <row r="621" spans="1:2">
      <c r="A621" s="126"/>
      <c r="B621" s="680"/>
    </row>
    <row r="622" spans="1:2">
      <c r="A622" s="126"/>
      <c r="B622" s="680"/>
    </row>
    <row r="623" spans="1:2">
      <c r="A623" s="126"/>
      <c r="B623" s="680"/>
    </row>
    <row r="624" spans="1:2">
      <c r="A624" s="126"/>
      <c r="B624" s="680"/>
    </row>
    <row r="625" spans="1:2">
      <c r="A625" s="126"/>
      <c r="B625" s="680"/>
    </row>
    <row r="626" spans="1:2">
      <c r="A626" s="126"/>
      <c r="B626" s="680"/>
    </row>
    <row r="627" spans="1:2">
      <c r="A627" s="126"/>
      <c r="B627" s="680"/>
    </row>
    <row r="628" spans="1:2">
      <c r="A628" s="126"/>
      <c r="B628" s="680"/>
    </row>
    <row r="629" spans="1:2">
      <c r="A629" s="126"/>
      <c r="B629" s="680"/>
    </row>
    <row r="630" spans="1:2">
      <c r="A630" s="126"/>
      <c r="B630" s="680"/>
    </row>
    <row r="631" spans="1:2">
      <c r="A631" s="126"/>
      <c r="B631" s="680"/>
    </row>
    <row r="632" spans="1:2">
      <c r="A632" s="126"/>
      <c r="B632" s="680"/>
    </row>
    <row r="633" spans="1:2">
      <c r="A633" s="126"/>
      <c r="B633" s="680"/>
    </row>
    <row r="634" spans="1:2">
      <c r="A634" s="126"/>
      <c r="B634" s="680"/>
    </row>
    <row r="635" spans="1:2">
      <c r="A635" s="126"/>
      <c r="B635" s="680"/>
    </row>
    <row r="636" spans="1:2">
      <c r="A636" s="126"/>
      <c r="B636" s="680"/>
    </row>
    <row r="637" spans="1:2">
      <c r="A637" s="126"/>
      <c r="B637" s="680"/>
    </row>
    <row r="638" spans="1:2">
      <c r="A638" s="126"/>
      <c r="B638" s="680"/>
    </row>
    <row r="639" spans="1:2">
      <c r="A639" s="126"/>
      <c r="B639" s="680"/>
    </row>
    <row r="640" spans="1:2">
      <c r="A640" s="126"/>
      <c r="B640" s="680"/>
    </row>
    <row r="641" spans="1:2">
      <c r="A641" s="126"/>
      <c r="B641" s="680"/>
    </row>
    <row r="642" spans="1:2">
      <c r="A642" s="126"/>
      <c r="B642" s="680"/>
    </row>
    <row r="643" spans="1:2">
      <c r="A643" s="126"/>
      <c r="B643" s="680"/>
    </row>
    <row r="644" spans="1:2">
      <c r="A644" s="126"/>
      <c r="B644" s="680"/>
    </row>
    <row r="645" spans="1:2">
      <c r="A645" s="126"/>
      <c r="B645" s="680"/>
    </row>
    <row r="646" spans="1:2">
      <c r="A646" s="126"/>
      <c r="B646" s="680"/>
    </row>
    <row r="647" spans="1:2">
      <c r="A647" s="126"/>
      <c r="B647" s="680"/>
    </row>
    <row r="648" spans="1:2">
      <c r="A648" s="126"/>
      <c r="B648" s="680"/>
    </row>
    <row r="649" spans="1:2">
      <c r="A649" s="126"/>
      <c r="B649" s="680"/>
    </row>
    <row r="650" spans="1:2">
      <c r="A650" s="126"/>
      <c r="B650" s="680"/>
    </row>
    <row r="651" spans="1:2">
      <c r="A651" s="126"/>
      <c r="B651" s="680"/>
    </row>
    <row r="652" spans="1:2">
      <c r="A652" s="126"/>
      <c r="B652" s="680"/>
    </row>
    <row r="653" spans="1:2">
      <c r="A653" s="126"/>
      <c r="B653" s="680"/>
    </row>
    <row r="654" spans="1:2">
      <c r="A654" s="126"/>
      <c r="B654" s="680"/>
    </row>
    <row r="655" spans="1:2">
      <c r="A655" s="126"/>
      <c r="B655" s="680"/>
    </row>
    <row r="656" spans="1:2">
      <c r="A656" s="126"/>
      <c r="B656" s="680"/>
    </row>
    <row r="657" spans="1:2">
      <c r="A657" s="126"/>
      <c r="B657" s="680"/>
    </row>
    <row r="658" spans="1:2">
      <c r="A658" s="126"/>
      <c r="B658" s="680"/>
    </row>
    <row r="659" spans="1:2">
      <c r="A659" s="126"/>
      <c r="B659" s="680"/>
    </row>
    <row r="660" spans="1:2">
      <c r="A660" s="126"/>
      <c r="B660" s="680"/>
    </row>
    <row r="661" spans="1:2">
      <c r="A661" s="126"/>
      <c r="B661" s="680"/>
    </row>
    <row r="662" spans="1:2">
      <c r="A662" s="126"/>
      <c r="B662" s="680"/>
    </row>
    <row r="663" spans="1:2">
      <c r="A663" s="126"/>
      <c r="B663" s="680"/>
    </row>
    <row r="664" spans="1:2">
      <c r="A664" s="126"/>
      <c r="B664" s="680"/>
    </row>
    <row r="665" spans="1:2">
      <c r="A665" s="126"/>
      <c r="B665" s="680"/>
    </row>
    <row r="666" spans="1:2">
      <c r="A666" s="126"/>
      <c r="B666" s="680"/>
    </row>
    <row r="667" spans="1:2">
      <c r="A667" s="126"/>
      <c r="B667" s="680"/>
    </row>
    <row r="668" spans="1:2">
      <c r="A668" s="126"/>
      <c r="B668" s="680"/>
    </row>
    <row r="669" spans="1:2">
      <c r="A669" s="126"/>
      <c r="B669" s="680"/>
    </row>
    <row r="670" spans="1:2">
      <c r="A670" s="126"/>
      <c r="B670" s="680"/>
    </row>
    <row r="671" spans="1:2">
      <c r="A671" s="126"/>
      <c r="B671" s="680"/>
    </row>
    <row r="672" spans="1:2">
      <c r="A672" s="126"/>
      <c r="B672" s="680"/>
    </row>
    <row r="673" spans="1:2">
      <c r="A673" s="126"/>
      <c r="B673" s="680"/>
    </row>
    <row r="674" spans="1:2">
      <c r="A674" s="126"/>
      <c r="B674" s="680"/>
    </row>
    <row r="675" spans="1:2">
      <c r="A675" s="126"/>
      <c r="B675" s="680"/>
    </row>
    <row r="676" spans="1:2">
      <c r="A676" s="126"/>
      <c r="B676" s="680"/>
    </row>
    <row r="677" spans="1:2">
      <c r="A677" s="126"/>
      <c r="B677" s="680"/>
    </row>
    <row r="678" spans="1:2">
      <c r="A678" s="126"/>
      <c r="B678" s="680"/>
    </row>
    <row r="679" spans="1:2">
      <c r="A679" s="126"/>
      <c r="B679" s="680"/>
    </row>
    <row r="680" spans="1:2">
      <c r="A680" s="126"/>
      <c r="B680" s="680"/>
    </row>
    <row r="681" spans="1:2">
      <c r="A681" s="126"/>
      <c r="B681" s="680"/>
    </row>
    <row r="682" spans="1:2">
      <c r="A682" s="126"/>
      <c r="B682" s="680"/>
    </row>
    <row r="683" spans="1:2">
      <c r="A683" s="126"/>
      <c r="B683" s="680"/>
    </row>
    <row r="684" spans="1:2">
      <c r="A684" s="126"/>
      <c r="B684" s="680"/>
    </row>
    <row r="685" spans="1:2">
      <c r="A685" s="126"/>
      <c r="B685" s="680"/>
    </row>
    <row r="686" spans="1:2">
      <c r="A686" s="126"/>
      <c r="B686" s="680"/>
    </row>
    <row r="687" spans="1:2">
      <c r="A687" s="126"/>
      <c r="B687" s="680"/>
    </row>
    <row r="688" spans="1:2">
      <c r="A688" s="126"/>
      <c r="B688" s="680"/>
    </row>
    <row r="689" spans="1:2">
      <c r="A689" s="126"/>
      <c r="B689" s="680"/>
    </row>
    <row r="690" spans="1:2">
      <c r="A690" s="126"/>
      <c r="B690" s="680"/>
    </row>
    <row r="691" spans="1:2">
      <c r="A691" s="126"/>
      <c r="B691" s="680"/>
    </row>
    <row r="692" spans="1:2">
      <c r="A692" s="126"/>
      <c r="B692" s="680"/>
    </row>
    <row r="693" spans="1:2">
      <c r="A693" s="126"/>
      <c r="B693" s="680"/>
    </row>
    <row r="694" spans="1:2">
      <c r="A694" s="126"/>
      <c r="B694" s="680"/>
    </row>
    <row r="695" spans="1:2">
      <c r="A695" s="126"/>
      <c r="B695" s="680"/>
    </row>
    <row r="696" spans="1:2">
      <c r="A696" s="126"/>
      <c r="B696" s="680"/>
    </row>
    <row r="697" spans="1:2">
      <c r="A697" s="126"/>
      <c r="B697" s="680"/>
    </row>
    <row r="698" spans="1:2">
      <c r="A698" s="126"/>
      <c r="B698" s="680"/>
    </row>
    <row r="699" spans="1:2">
      <c r="A699" s="126"/>
      <c r="B699" s="680"/>
    </row>
    <row r="700" spans="1:2">
      <c r="A700" s="126"/>
      <c r="B700" s="680"/>
    </row>
    <row r="701" spans="1:2">
      <c r="A701" s="126"/>
      <c r="B701" s="680"/>
    </row>
    <row r="702" spans="1:2">
      <c r="A702" s="126"/>
      <c r="B702" s="680"/>
    </row>
    <row r="703" spans="1:2">
      <c r="A703" s="126"/>
      <c r="B703" s="680"/>
    </row>
    <row r="704" spans="1:2">
      <c r="A704" s="126"/>
      <c r="B704" s="680"/>
    </row>
    <row r="705" spans="1:2">
      <c r="A705" s="126"/>
      <c r="B705" s="680"/>
    </row>
    <row r="706" spans="1:2">
      <c r="A706" s="126"/>
      <c r="B706" s="680"/>
    </row>
    <row r="707" spans="1:2">
      <c r="A707" s="126"/>
      <c r="B707" s="680"/>
    </row>
    <row r="708" spans="1:2">
      <c r="A708" s="126"/>
      <c r="B708" s="680"/>
    </row>
    <row r="709" spans="1:2">
      <c r="A709" s="126"/>
      <c r="B709" s="680"/>
    </row>
    <row r="710" spans="1:2">
      <c r="A710" s="126"/>
      <c r="B710" s="680"/>
    </row>
    <row r="711" spans="1:2">
      <c r="A711" s="126"/>
      <c r="B711" s="680"/>
    </row>
    <row r="712" spans="1:2">
      <c r="A712" s="126"/>
      <c r="B712" s="680"/>
    </row>
    <row r="713" spans="1:2">
      <c r="A713" s="126"/>
      <c r="B713" s="680"/>
    </row>
    <row r="714" spans="1:2">
      <c r="A714" s="126"/>
      <c r="B714" s="680"/>
    </row>
    <row r="715" spans="1:2">
      <c r="A715" s="126"/>
      <c r="B715" s="680"/>
    </row>
    <row r="716" spans="1:2">
      <c r="A716" s="126"/>
      <c r="B716" s="680"/>
    </row>
    <row r="717" spans="1:2">
      <c r="A717" s="126"/>
      <c r="B717" s="680"/>
    </row>
    <row r="718" spans="1:2">
      <c r="A718" s="126"/>
      <c r="B718" s="680"/>
    </row>
    <row r="719" spans="1:2">
      <c r="A719" s="126"/>
      <c r="B719" s="680"/>
    </row>
    <row r="720" spans="1:2">
      <c r="A720" s="126"/>
      <c r="B720" s="680"/>
    </row>
    <row r="721" spans="1:2">
      <c r="A721" s="126"/>
      <c r="B721" s="680"/>
    </row>
    <row r="722" spans="1:2">
      <c r="A722" s="126"/>
      <c r="B722" s="680"/>
    </row>
    <row r="723" spans="1:2">
      <c r="A723" s="126"/>
      <c r="B723" s="680"/>
    </row>
    <row r="724" spans="1:2">
      <c r="A724" s="126"/>
      <c r="B724" s="680"/>
    </row>
    <row r="725" spans="1:2">
      <c r="A725" s="126"/>
      <c r="B725" s="680"/>
    </row>
    <row r="726" spans="1:2">
      <c r="A726" s="126"/>
      <c r="B726" s="680"/>
    </row>
    <row r="727" spans="1:2">
      <c r="A727" s="126"/>
      <c r="B727" s="680"/>
    </row>
    <row r="728" spans="1:2">
      <c r="A728" s="126"/>
      <c r="B728" s="680"/>
    </row>
    <row r="729" spans="1:2">
      <c r="A729" s="126"/>
      <c r="B729" s="680"/>
    </row>
    <row r="730" spans="1:2">
      <c r="A730" s="126"/>
      <c r="B730" s="680"/>
    </row>
    <row r="731" spans="1:2">
      <c r="A731" s="126"/>
      <c r="B731" s="680"/>
    </row>
    <row r="732" spans="1:2">
      <c r="A732" s="126"/>
      <c r="B732" s="680"/>
    </row>
    <row r="733" spans="1:2">
      <c r="A733" s="126"/>
      <c r="B733" s="680"/>
    </row>
    <row r="734" spans="1:2">
      <c r="A734" s="126"/>
      <c r="B734" s="680"/>
    </row>
    <row r="735" spans="1:2">
      <c r="A735" s="126"/>
      <c r="B735" s="680"/>
    </row>
    <row r="736" spans="1:2">
      <c r="A736" s="126"/>
      <c r="B736" s="680"/>
    </row>
    <row r="737" spans="1:2">
      <c r="A737" s="126"/>
      <c r="B737" s="680"/>
    </row>
    <row r="738" spans="1:2">
      <c r="A738" s="126"/>
      <c r="B738" s="680"/>
    </row>
    <row r="739" spans="1:2">
      <c r="A739" s="126"/>
      <c r="B739" s="680"/>
    </row>
    <row r="740" spans="1:2">
      <c r="A740" s="126"/>
      <c r="B740" s="680"/>
    </row>
    <row r="741" spans="1:2">
      <c r="A741" s="126"/>
      <c r="B741" s="680"/>
    </row>
    <row r="742" spans="1:2">
      <c r="A742" s="126"/>
      <c r="B742" s="680"/>
    </row>
    <row r="743" spans="1:2">
      <c r="A743" s="126"/>
      <c r="B743" s="680"/>
    </row>
    <row r="744" spans="1:2">
      <c r="A744" s="126"/>
      <c r="B744" s="680"/>
    </row>
    <row r="745" spans="1:2">
      <c r="A745" s="126"/>
      <c r="B745" s="680"/>
    </row>
    <row r="746" spans="1:2">
      <c r="A746" s="126"/>
      <c r="B746" s="680"/>
    </row>
    <row r="747" spans="1:2">
      <c r="A747" s="126"/>
      <c r="B747" s="680"/>
    </row>
    <row r="748" spans="1:2">
      <c r="A748" s="126"/>
      <c r="B748" s="680"/>
    </row>
    <row r="749" spans="1:2">
      <c r="A749" s="126"/>
      <c r="B749" s="680"/>
    </row>
    <row r="750" spans="1:2">
      <c r="A750" s="126"/>
      <c r="B750" s="680"/>
    </row>
    <row r="751" spans="1:2">
      <c r="A751" s="126"/>
      <c r="B751" s="680"/>
    </row>
    <row r="752" spans="1:2">
      <c r="A752" s="126"/>
      <c r="B752" s="680"/>
    </row>
    <row r="753" spans="1:2">
      <c r="A753" s="126"/>
      <c r="B753" s="680"/>
    </row>
    <row r="754" spans="1:2">
      <c r="A754" s="126"/>
      <c r="B754" s="680"/>
    </row>
    <row r="755" spans="1:2">
      <c r="A755" s="126"/>
      <c r="B755" s="680"/>
    </row>
    <row r="756" spans="1:2">
      <c r="A756" s="126"/>
      <c r="B756" s="680"/>
    </row>
    <row r="757" spans="1:2">
      <c r="A757" s="126"/>
      <c r="B757" s="680"/>
    </row>
    <row r="758" spans="1:2">
      <c r="A758" s="126"/>
      <c r="B758" s="680"/>
    </row>
    <row r="759" spans="1:2">
      <c r="A759" s="126"/>
      <c r="B759" s="680"/>
    </row>
    <row r="760" spans="1:2">
      <c r="A760" s="126"/>
      <c r="B760" s="680"/>
    </row>
    <row r="761" spans="1:2">
      <c r="A761" s="126"/>
      <c r="B761" s="680"/>
    </row>
    <row r="762" spans="1:2">
      <c r="A762" s="126"/>
      <c r="B762" s="680"/>
    </row>
    <row r="763" spans="1:2">
      <c r="A763" s="126"/>
      <c r="B763" s="680"/>
    </row>
    <row r="764" spans="1:2">
      <c r="A764" s="126"/>
      <c r="B764" s="680"/>
    </row>
    <row r="765" spans="1:2">
      <c r="A765" s="126"/>
      <c r="B765" s="680"/>
    </row>
    <row r="766" spans="1:2">
      <c r="A766" s="126"/>
      <c r="B766" s="680"/>
    </row>
    <row r="767" spans="1:2">
      <c r="A767" s="126"/>
      <c r="B767" s="680"/>
    </row>
    <row r="768" spans="1:2">
      <c r="A768" s="126"/>
      <c r="B768" s="680"/>
    </row>
    <row r="769" spans="1:2">
      <c r="A769" s="126"/>
      <c r="B769" s="680"/>
    </row>
    <row r="770" spans="1:2">
      <c r="A770" s="126"/>
      <c r="B770" s="680"/>
    </row>
    <row r="771" spans="1:2">
      <c r="A771" s="126"/>
      <c r="B771" s="680"/>
    </row>
    <row r="772" spans="1:2">
      <c r="A772" s="126"/>
      <c r="B772" s="680"/>
    </row>
    <row r="773" spans="1:2">
      <c r="A773" s="126"/>
      <c r="B773" s="680"/>
    </row>
    <row r="774" spans="1:2">
      <c r="A774" s="126"/>
      <c r="B774" s="680"/>
    </row>
    <row r="775" spans="1:2">
      <c r="A775" s="126"/>
      <c r="B775" s="680"/>
    </row>
    <row r="776" spans="1:2">
      <c r="A776" s="126"/>
      <c r="B776" s="680"/>
    </row>
    <row r="777" spans="1:2">
      <c r="A777" s="126"/>
      <c r="B777" s="680"/>
    </row>
    <row r="778" spans="1:2">
      <c r="A778" s="126"/>
      <c r="B778" s="680"/>
    </row>
    <row r="779" spans="1:2">
      <c r="A779" s="126"/>
      <c r="B779" s="680"/>
    </row>
    <row r="780" spans="1:2">
      <c r="A780" s="126"/>
      <c r="B780" s="680"/>
    </row>
    <row r="781" spans="1:2">
      <c r="A781" s="126"/>
      <c r="B781" s="680"/>
    </row>
    <row r="782" spans="1:2">
      <c r="A782" s="126"/>
      <c r="B782" s="680"/>
    </row>
    <row r="783" spans="1:2">
      <c r="A783" s="126"/>
      <c r="B783" s="680"/>
    </row>
    <row r="784" spans="1:2">
      <c r="A784" s="126"/>
      <c r="B784" s="680"/>
    </row>
    <row r="785" spans="1:2">
      <c r="A785" s="126"/>
      <c r="B785" s="680"/>
    </row>
    <row r="786" spans="1:2">
      <c r="A786" s="126"/>
      <c r="B786" s="680"/>
    </row>
    <row r="787" spans="1:2">
      <c r="A787" s="126"/>
      <c r="B787" s="680"/>
    </row>
    <row r="788" spans="1:2">
      <c r="A788" s="126"/>
      <c r="B788" s="680"/>
    </row>
    <row r="789" spans="1:2">
      <c r="A789" s="126"/>
      <c r="B789" s="680"/>
    </row>
    <row r="790" spans="1:2">
      <c r="A790" s="126"/>
      <c r="B790" s="680"/>
    </row>
    <row r="791" spans="1:2">
      <c r="A791" s="126"/>
      <c r="B791" s="680"/>
    </row>
    <row r="792" spans="1:2">
      <c r="A792" s="126"/>
      <c r="B792" s="680"/>
    </row>
    <row r="793" spans="1:2">
      <c r="A793" s="126"/>
      <c r="B793" s="680"/>
    </row>
    <row r="794" spans="1:2">
      <c r="A794" s="126"/>
      <c r="B794" s="680"/>
    </row>
    <row r="795" spans="1:2">
      <c r="A795" s="126"/>
      <c r="B795" s="680"/>
    </row>
    <row r="796" spans="1:2">
      <c r="A796" s="126"/>
      <c r="B796" s="680"/>
    </row>
    <row r="797" spans="1:2">
      <c r="A797" s="126"/>
      <c r="B797" s="680"/>
    </row>
    <row r="798" spans="1:2">
      <c r="A798" s="126"/>
      <c r="B798" s="680"/>
    </row>
    <row r="799" spans="1:2">
      <c r="A799" s="126"/>
      <c r="B799" s="680"/>
    </row>
    <row r="800" spans="1:2">
      <c r="A800" s="126"/>
      <c r="B800" s="680"/>
    </row>
    <row r="801" spans="1:2">
      <c r="A801" s="126"/>
      <c r="B801" s="680"/>
    </row>
    <row r="802" spans="1:2">
      <c r="A802" s="126"/>
      <c r="B802" s="680"/>
    </row>
    <row r="803" spans="1:2">
      <c r="A803" s="126"/>
      <c r="B803" s="680"/>
    </row>
    <row r="804" spans="1:2">
      <c r="A804" s="126"/>
      <c r="B804" s="680"/>
    </row>
    <row r="805" spans="1:2">
      <c r="A805" s="126"/>
      <c r="B805" s="680"/>
    </row>
    <row r="806" spans="1:2">
      <c r="A806" s="126"/>
      <c r="B806" s="680"/>
    </row>
    <row r="807" spans="1:2">
      <c r="A807" s="126"/>
      <c r="B807" s="680"/>
    </row>
    <row r="808" spans="1:2">
      <c r="A808" s="126"/>
      <c r="B808" s="680"/>
    </row>
    <row r="809" spans="1:2">
      <c r="A809" s="126"/>
      <c r="B809" s="680"/>
    </row>
    <row r="810" spans="1:2">
      <c r="A810" s="126"/>
      <c r="B810" s="680"/>
    </row>
    <row r="811" spans="1:2">
      <c r="A811" s="126"/>
      <c r="B811" s="680"/>
    </row>
    <row r="812" spans="1:2">
      <c r="A812" s="126"/>
      <c r="B812" s="680"/>
    </row>
    <row r="813" spans="1:2">
      <c r="A813" s="126"/>
      <c r="B813" s="680"/>
    </row>
    <row r="814" spans="1:2">
      <c r="A814" s="126"/>
      <c r="B814" s="680"/>
    </row>
    <row r="815" spans="1:2">
      <c r="A815" s="126"/>
      <c r="B815" s="680"/>
    </row>
    <row r="816" spans="1:2">
      <c r="A816" s="126"/>
      <c r="B816" s="680"/>
    </row>
    <row r="817" spans="1:2">
      <c r="A817" s="126"/>
      <c r="B817" s="680"/>
    </row>
    <row r="818" spans="1:2">
      <c r="A818" s="126"/>
      <c r="B818" s="680"/>
    </row>
    <row r="819" spans="1:2">
      <c r="A819" s="126"/>
      <c r="B819" s="680"/>
    </row>
    <row r="820" spans="1:2">
      <c r="A820" s="126"/>
      <c r="B820" s="680"/>
    </row>
    <row r="821" spans="1:2">
      <c r="A821" s="126"/>
      <c r="B821" s="680"/>
    </row>
    <row r="822" spans="1:2">
      <c r="A822" s="126"/>
      <c r="B822" s="680"/>
    </row>
    <row r="823" spans="1:2">
      <c r="A823" s="126"/>
      <c r="B823" s="680"/>
    </row>
    <row r="824" spans="1:2">
      <c r="A824" s="126"/>
      <c r="B824" s="680"/>
    </row>
    <row r="825" spans="1:2">
      <c r="A825" s="126"/>
      <c r="B825" s="680"/>
    </row>
    <row r="826" spans="1:2">
      <c r="A826" s="126"/>
      <c r="B826" s="680"/>
    </row>
    <row r="827" spans="1:2">
      <c r="A827" s="126"/>
      <c r="B827" s="680"/>
    </row>
    <row r="828" spans="1:2">
      <c r="A828" s="126"/>
      <c r="B828" s="680"/>
    </row>
    <row r="829" spans="1:2">
      <c r="A829" s="126"/>
      <c r="B829" s="680"/>
    </row>
    <row r="830" spans="1:2">
      <c r="A830" s="126"/>
      <c r="B830" s="680"/>
    </row>
    <row r="831" spans="1:2">
      <c r="A831" s="126"/>
      <c r="B831" s="680"/>
    </row>
    <row r="832" spans="1:2">
      <c r="A832" s="126"/>
      <c r="B832" s="680"/>
    </row>
    <row r="833" spans="1:2">
      <c r="A833" s="126"/>
      <c r="B833" s="680"/>
    </row>
    <row r="834" spans="1:2">
      <c r="A834" s="126"/>
      <c r="B834" s="680"/>
    </row>
    <row r="835" spans="1:2">
      <c r="A835" s="126"/>
      <c r="B835" s="680"/>
    </row>
    <row r="836" spans="1:2">
      <c r="A836" s="126"/>
      <c r="B836" s="680"/>
    </row>
    <row r="837" spans="1:2">
      <c r="A837" s="126"/>
      <c r="B837" s="680"/>
    </row>
    <row r="838" spans="1:2">
      <c r="A838" s="126"/>
      <c r="B838" s="680"/>
    </row>
    <row r="839" spans="1:2">
      <c r="A839" s="126"/>
      <c r="B839" s="680"/>
    </row>
    <row r="840" spans="1:2">
      <c r="A840" s="126"/>
      <c r="B840" s="680"/>
    </row>
    <row r="841" spans="1:2">
      <c r="A841" s="126"/>
      <c r="B841" s="680"/>
    </row>
    <row r="842" spans="1:2">
      <c r="A842" s="126"/>
      <c r="B842" s="680"/>
    </row>
    <row r="843" spans="1:2">
      <c r="A843" s="126"/>
      <c r="B843" s="680"/>
    </row>
    <row r="844" spans="1:2">
      <c r="A844" s="126"/>
      <c r="B844" s="680"/>
    </row>
    <row r="845" spans="1:2">
      <c r="A845" s="126"/>
      <c r="B845" s="680"/>
    </row>
    <row r="846" spans="1:2">
      <c r="A846" s="126"/>
      <c r="B846" s="680"/>
    </row>
    <row r="847" spans="1:2">
      <c r="A847" s="126"/>
      <c r="B847" s="680"/>
    </row>
    <row r="848" spans="1:2">
      <c r="A848" s="126"/>
      <c r="B848" s="680"/>
    </row>
    <row r="849" spans="1:2">
      <c r="A849" s="126"/>
      <c r="B849" s="680"/>
    </row>
    <row r="850" spans="1:2">
      <c r="A850" s="126"/>
      <c r="B850" s="680"/>
    </row>
    <row r="851" spans="1:2">
      <c r="A851" s="126"/>
      <c r="B851" s="680"/>
    </row>
    <row r="852" spans="1:2">
      <c r="A852" s="126"/>
      <c r="B852" s="680"/>
    </row>
    <row r="853" spans="1:2">
      <c r="A853" s="126"/>
      <c r="B853" s="680"/>
    </row>
    <row r="854" spans="1:2">
      <c r="A854" s="126"/>
      <c r="B854" s="680"/>
    </row>
    <row r="855" spans="1:2">
      <c r="A855" s="126"/>
      <c r="B855" s="680"/>
    </row>
    <row r="856" spans="1:2">
      <c r="A856" s="126"/>
      <c r="B856" s="680"/>
    </row>
    <row r="857" spans="1:2">
      <c r="A857" s="126"/>
      <c r="B857" s="680"/>
    </row>
    <row r="858" spans="1:2">
      <c r="A858" s="126"/>
      <c r="B858" s="680"/>
    </row>
    <row r="859" spans="1:2">
      <c r="A859" s="126"/>
      <c r="B859" s="680"/>
    </row>
    <row r="860" spans="1:2">
      <c r="A860" s="126"/>
      <c r="B860" s="680"/>
    </row>
    <row r="861" spans="1:2">
      <c r="A861" s="126"/>
      <c r="B861" s="680"/>
    </row>
    <row r="862" spans="1:2">
      <c r="A862" s="126"/>
      <c r="B862" s="680"/>
    </row>
    <row r="863" spans="1:2">
      <c r="A863" s="126"/>
      <c r="B863" s="680"/>
    </row>
    <row r="864" spans="1:2">
      <c r="A864" s="126"/>
      <c r="B864" s="680"/>
    </row>
    <row r="865" spans="1:2">
      <c r="A865" s="126"/>
      <c r="B865" s="680"/>
    </row>
    <row r="866" spans="1:2">
      <c r="A866" s="126"/>
      <c r="B866" s="680"/>
    </row>
    <row r="867" spans="1:2">
      <c r="A867" s="126"/>
      <c r="B867" s="680"/>
    </row>
    <row r="868" spans="1:2">
      <c r="A868" s="126"/>
      <c r="B868" s="680"/>
    </row>
    <row r="869" spans="1:2">
      <c r="A869" s="126"/>
      <c r="B869" s="680"/>
    </row>
    <row r="870" spans="1:2">
      <c r="A870" s="126"/>
      <c r="B870" s="680"/>
    </row>
    <row r="871" spans="1:2">
      <c r="A871" s="126"/>
      <c r="B871" s="680"/>
    </row>
    <row r="872" spans="1:2">
      <c r="A872" s="126"/>
      <c r="B872" s="680"/>
    </row>
    <row r="873" spans="1:2">
      <c r="A873" s="126"/>
      <c r="B873" s="680"/>
    </row>
    <row r="874" spans="1:2">
      <c r="A874" s="126"/>
      <c r="B874" s="680"/>
    </row>
    <row r="875" spans="1:2">
      <c r="A875" s="126"/>
      <c r="B875" s="680"/>
    </row>
    <row r="876" spans="1:2">
      <c r="A876" s="126"/>
      <c r="B876" s="680"/>
    </row>
    <row r="877" spans="1:2">
      <c r="A877" s="126"/>
      <c r="B877" s="680"/>
    </row>
    <row r="878" spans="1:2">
      <c r="A878" s="126"/>
      <c r="B878" s="680"/>
    </row>
    <row r="879" spans="1:2">
      <c r="A879" s="126"/>
      <c r="B879" s="680"/>
    </row>
    <row r="880" spans="1:2">
      <c r="A880" s="126"/>
      <c r="B880" s="680"/>
    </row>
    <row r="881" spans="1:2">
      <c r="A881" s="126"/>
      <c r="B881" s="680"/>
    </row>
    <row r="882" spans="1:2">
      <c r="A882" s="126"/>
      <c r="B882" s="680"/>
    </row>
    <row r="883" spans="1:2">
      <c r="A883" s="126"/>
      <c r="B883" s="680"/>
    </row>
    <row r="884" spans="1:2">
      <c r="A884" s="126"/>
      <c r="B884" s="680"/>
    </row>
    <row r="885" spans="1:2">
      <c r="A885" s="126"/>
      <c r="B885" s="680"/>
    </row>
    <row r="886" spans="1:2">
      <c r="A886" s="126"/>
      <c r="B886" s="680"/>
    </row>
    <row r="887" spans="1:2">
      <c r="A887" s="126"/>
      <c r="B887" s="680"/>
    </row>
    <row r="888" spans="1:2">
      <c r="A888" s="126"/>
      <c r="B888" s="680"/>
    </row>
    <row r="889" spans="1:2">
      <c r="A889" s="126"/>
      <c r="B889" s="680"/>
    </row>
    <row r="890" spans="1:2">
      <c r="A890" s="126"/>
      <c r="B890" s="680"/>
    </row>
    <row r="891" spans="1:2">
      <c r="A891" s="126"/>
      <c r="B891" s="680"/>
    </row>
    <row r="892" spans="1:2">
      <c r="A892" s="126"/>
      <c r="B892" s="680"/>
    </row>
    <row r="893" spans="1:2">
      <c r="A893" s="126"/>
      <c r="B893" s="680"/>
    </row>
    <row r="894" spans="1:2">
      <c r="A894" s="126"/>
      <c r="B894" s="680"/>
    </row>
    <row r="895" spans="1:2">
      <c r="A895" s="126"/>
      <c r="B895" s="680"/>
    </row>
    <row r="896" spans="1:2">
      <c r="A896" s="126"/>
      <c r="B896" s="680"/>
    </row>
    <row r="897" spans="1:2">
      <c r="A897" s="126"/>
      <c r="B897" s="680"/>
    </row>
    <row r="898" spans="1:2">
      <c r="A898" s="126"/>
      <c r="B898" s="680"/>
    </row>
    <row r="899" spans="1:2">
      <c r="A899" s="126"/>
      <c r="B899" s="680"/>
    </row>
    <row r="900" spans="1:2">
      <c r="A900" s="126"/>
      <c r="B900" s="680"/>
    </row>
    <row r="901" spans="1:2">
      <c r="A901" s="126"/>
      <c r="B901" s="680"/>
    </row>
    <row r="902" spans="1:2">
      <c r="A902" s="126"/>
      <c r="B902" s="680"/>
    </row>
    <row r="903" spans="1:2">
      <c r="A903" s="126"/>
      <c r="B903" s="680"/>
    </row>
    <row r="904" spans="1:2">
      <c r="A904" s="126"/>
      <c r="B904" s="680"/>
    </row>
    <row r="905" spans="1:2">
      <c r="A905" s="126"/>
      <c r="B905" s="680"/>
    </row>
    <row r="906" spans="1:2">
      <c r="A906" s="126"/>
      <c r="B906" s="680"/>
    </row>
    <row r="907" spans="1:2">
      <c r="A907" s="126"/>
      <c r="B907" s="680"/>
    </row>
    <row r="908" spans="1:2">
      <c r="A908" s="126"/>
      <c r="B908" s="680"/>
    </row>
    <row r="909" spans="1:2">
      <c r="A909" s="126"/>
      <c r="B909" s="680"/>
    </row>
    <row r="910" spans="1:2">
      <c r="A910" s="126"/>
      <c r="B910" s="680"/>
    </row>
    <row r="911" spans="1:2">
      <c r="A911" s="126"/>
      <c r="B911" s="680"/>
    </row>
    <row r="912" spans="1:2">
      <c r="A912" s="126"/>
      <c r="B912" s="680"/>
    </row>
    <row r="913" spans="1:2">
      <c r="A913" s="126"/>
      <c r="B913" s="680"/>
    </row>
    <row r="914" spans="1:2">
      <c r="A914" s="126"/>
      <c r="B914" s="680"/>
    </row>
    <row r="915" spans="1:2">
      <c r="A915" s="126"/>
      <c r="B915" s="680"/>
    </row>
    <row r="916" spans="1:2">
      <c r="A916" s="126"/>
      <c r="B916" s="680"/>
    </row>
    <row r="917" spans="1:2">
      <c r="A917" s="126"/>
      <c r="B917" s="680"/>
    </row>
    <row r="918" spans="1:2">
      <c r="A918" s="126"/>
      <c r="B918" s="680"/>
    </row>
    <row r="919" spans="1:2">
      <c r="A919" s="126"/>
      <c r="B919" s="680"/>
    </row>
    <row r="920" spans="1:2">
      <c r="A920" s="126"/>
      <c r="B920" s="680"/>
    </row>
    <row r="921" spans="1:2">
      <c r="A921" s="126"/>
      <c r="B921" s="680"/>
    </row>
    <row r="922" spans="1:2">
      <c r="A922" s="126"/>
      <c r="B922" s="680"/>
    </row>
    <row r="923" spans="1:2">
      <c r="A923" s="126"/>
      <c r="B923" s="680"/>
    </row>
    <row r="924" spans="1:2">
      <c r="A924" s="126"/>
      <c r="B924" s="680"/>
    </row>
    <row r="925" spans="1:2">
      <c r="A925" s="126"/>
      <c r="B925" s="680"/>
    </row>
    <row r="926" spans="1:2">
      <c r="A926" s="126"/>
      <c r="B926" s="680"/>
    </row>
    <row r="927" spans="1:2">
      <c r="A927" s="126"/>
      <c r="B927" s="680"/>
    </row>
    <row r="928" spans="1:2">
      <c r="A928" s="126"/>
      <c r="B928" s="680"/>
    </row>
    <row r="929" spans="1:2">
      <c r="A929" s="126"/>
      <c r="B929" s="680"/>
    </row>
    <row r="930" spans="1:2">
      <c r="A930" s="126"/>
      <c r="B930" s="680"/>
    </row>
    <row r="931" spans="1:2">
      <c r="A931" s="126"/>
      <c r="B931" s="680"/>
    </row>
    <row r="932" spans="1:2">
      <c r="A932" s="126"/>
      <c r="B932" s="680"/>
    </row>
    <row r="933" spans="1:2">
      <c r="A933" s="126"/>
      <c r="B933" s="680"/>
    </row>
    <row r="934" spans="1:2">
      <c r="A934" s="126"/>
      <c r="B934" s="680"/>
    </row>
    <row r="935" spans="1:2">
      <c r="A935" s="126"/>
      <c r="B935" s="680"/>
    </row>
    <row r="936" spans="1:2">
      <c r="A936" s="126"/>
      <c r="B936" s="680"/>
    </row>
    <row r="937" spans="1:2">
      <c r="A937" s="126"/>
      <c r="B937" s="680"/>
    </row>
    <row r="938" spans="1:2">
      <c r="A938" s="126"/>
      <c r="B938" s="680"/>
    </row>
    <row r="939" spans="1:2">
      <c r="A939" s="126"/>
      <c r="B939" s="680"/>
    </row>
    <row r="940" spans="1:2">
      <c r="A940" s="126"/>
      <c r="B940" s="680"/>
    </row>
    <row r="941" spans="1:2">
      <c r="A941" s="126"/>
      <c r="B941" s="680"/>
    </row>
    <row r="942" spans="1:2">
      <c r="A942" s="126"/>
      <c r="B942" s="680"/>
    </row>
    <row r="943" spans="1:2">
      <c r="A943" s="126"/>
      <c r="B943" s="680"/>
    </row>
    <row r="944" spans="1:2">
      <c r="A944" s="126"/>
      <c r="B944" s="680"/>
    </row>
    <row r="945" spans="1:2">
      <c r="A945" s="126"/>
      <c r="B945" s="680"/>
    </row>
    <row r="946" spans="1:2">
      <c r="A946" s="126"/>
      <c r="B946" s="680"/>
    </row>
    <row r="947" spans="1:2">
      <c r="A947" s="126"/>
      <c r="B947" s="680"/>
    </row>
    <row r="948" spans="1:2">
      <c r="A948" s="126"/>
      <c r="B948" s="680"/>
    </row>
    <row r="949" spans="1:2">
      <c r="A949" s="126"/>
      <c r="B949" s="680"/>
    </row>
    <row r="950" spans="1:2">
      <c r="A950" s="126"/>
      <c r="B950" s="680"/>
    </row>
    <row r="951" spans="1:2">
      <c r="A951" s="126"/>
      <c r="B951" s="680"/>
    </row>
    <row r="952" spans="1:2">
      <c r="A952" s="126"/>
      <c r="B952" s="680"/>
    </row>
    <row r="953" spans="1:2">
      <c r="A953" s="126"/>
      <c r="B953" s="680"/>
    </row>
    <row r="954" spans="1:2">
      <c r="A954" s="126"/>
      <c r="B954" s="680"/>
    </row>
    <row r="955" spans="1:2">
      <c r="A955" s="126"/>
      <c r="B955" s="680"/>
    </row>
    <row r="956" spans="1:2">
      <c r="A956" s="126"/>
      <c r="B956" s="680"/>
    </row>
    <row r="957" spans="1:2">
      <c r="A957" s="126"/>
      <c r="B957" s="680"/>
    </row>
    <row r="958" spans="1:2">
      <c r="A958" s="126"/>
      <c r="B958" s="680"/>
    </row>
    <row r="959" spans="1:2">
      <c r="A959" s="126"/>
      <c r="B959" s="680"/>
    </row>
    <row r="960" spans="1:2">
      <c r="A960" s="126"/>
      <c r="B960" s="680"/>
    </row>
    <row r="961" spans="1:2">
      <c r="A961" s="126"/>
      <c r="B961" s="680"/>
    </row>
    <row r="962" spans="1:2">
      <c r="A962" s="126"/>
      <c r="B962" s="680"/>
    </row>
    <row r="963" spans="1:2">
      <c r="A963" s="126"/>
      <c r="B963" s="680"/>
    </row>
    <row r="964" spans="1:2">
      <c r="A964" s="126"/>
      <c r="B964" s="680"/>
    </row>
    <row r="965" spans="1:2">
      <c r="A965" s="126"/>
      <c r="B965" s="680"/>
    </row>
    <row r="966" spans="1:2">
      <c r="A966" s="126"/>
      <c r="B966" s="680"/>
    </row>
    <row r="967" spans="1:2">
      <c r="A967" s="126"/>
      <c r="B967" s="680"/>
    </row>
    <row r="968" spans="1:2">
      <c r="A968" s="126"/>
      <c r="B968" s="680"/>
    </row>
    <row r="969" spans="1:2">
      <c r="A969" s="126"/>
      <c r="B969" s="680"/>
    </row>
    <row r="970" spans="1:2">
      <c r="A970" s="126"/>
      <c r="B970" s="680"/>
    </row>
    <row r="971" spans="1:2">
      <c r="A971" s="126"/>
      <c r="B971" s="680"/>
    </row>
    <row r="972" spans="1:2">
      <c r="A972" s="126"/>
      <c r="B972" s="680"/>
    </row>
    <row r="973" spans="1:2">
      <c r="A973" s="126"/>
      <c r="B973" s="680"/>
    </row>
    <row r="974" spans="1:2">
      <c r="A974" s="126"/>
      <c r="B974" s="680"/>
    </row>
    <row r="975" spans="1:2">
      <c r="A975" s="126"/>
      <c r="B975" s="680"/>
    </row>
    <row r="976" spans="1:2">
      <c r="A976" s="126"/>
      <c r="B976" s="680"/>
    </row>
    <row r="977" spans="1:2">
      <c r="A977" s="126"/>
      <c r="B977" s="680"/>
    </row>
    <row r="978" spans="1:2">
      <c r="A978" s="126"/>
      <c r="B978" s="680"/>
    </row>
    <row r="979" spans="1:2">
      <c r="A979" s="126"/>
      <c r="B979" s="680"/>
    </row>
    <row r="980" spans="1:2">
      <c r="A980" s="126"/>
      <c r="B980" s="680"/>
    </row>
    <row r="981" spans="1:2">
      <c r="A981" s="126"/>
      <c r="B981" s="680"/>
    </row>
    <row r="982" spans="1:2">
      <c r="A982" s="126"/>
      <c r="B982" s="680"/>
    </row>
    <row r="983" spans="1:2">
      <c r="A983" s="126"/>
      <c r="B983" s="680"/>
    </row>
    <row r="984" spans="1:2">
      <c r="A984" s="126"/>
      <c r="B984" s="680"/>
    </row>
    <row r="985" spans="1:2">
      <c r="A985" s="126"/>
      <c r="B985" s="680"/>
    </row>
    <row r="986" spans="1:2">
      <c r="A986" s="126"/>
      <c r="B986" s="680"/>
    </row>
    <row r="987" spans="1:2">
      <c r="A987" s="126"/>
      <c r="B987" s="680"/>
    </row>
    <row r="988" spans="1:2">
      <c r="A988" s="126"/>
      <c r="B988" s="680"/>
    </row>
    <row r="989" spans="1:2">
      <c r="A989" s="126"/>
      <c r="B989" s="680"/>
    </row>
    <row r="990" spans="1:2">
      <c r="A990" s="126"/>
      <c r="B990" s="680"/>
    </row>
    <row r="991" spans="1:2">
      <c r="A991" s="126"/>
      <c r="B991" s="680"/>
    </row>
    <row r="992" spans="1:2">
      <c r="A992" s="126"/>
      <c r="B992" s="680"/>
    </row>
    <row r="993" spans="1:2">
      <c r="A993" s="126"/>
      <c r="B993" s="680"/>
    </row>
    <row r="994" spans="1:2">
      <c r="A994" s="126"/>
      <c r="B994" s="680"/>
    </row>
    <row r="995" spans="1:2">
      <c r="A995" s="126"/>
      <c r="B995" s="680"/>
    </row>
    <row r="996" spans="1:2">
      <c r="A996" s="126"/>
      <c r="B996" s="680"/>
    </row>
    <row r="997" spans="1:2">
      <c r="A997" s="126"/>
      <c r="B997" s="680"/>
    </row>
    <row r="998" spans="1:2">
      <c r="A998" s="126"/>
      <c r="B998" s="680"/>
    </row>
    <row r="999" spans="1:2">
      <c r="A999" s="126"/>
      <c r="B999" s="680"/>
    </row>
    <row r="1000" spans="1:2">
      <c r="A1000" s="126"/>
      <c r="B1000" s="680"/>
    </row>
    <row r="1001" spans="1:2">
      <c r="A1001" s="126"/>
      <c r="B1001" s="680"/>
    </row>
    <row r="1002" spans="1:2">
      <c r="A1002" s="126"/>
      <c r="B1002" s="680"/>
    </row>
    <row r="1003" spans="1:2">
      <c r="A1003" s="126"/>
      <c r="B1003" s="680"/>
    </row>
    <row r="1004" spans="1:2">
      <c r="A1004" s="126"/>
      <c r="B1004" s="680"/>
    </row>
    <row r="1005" spans="1:2">
      <c r="A1005" s="126"/>
      <c r="B1005" s="680"/>
    </row>
    <row r="1006" spans="1:2">
      <c r="A1006" s="126"/>
      <c r="B1006" s="680"/>
    </row>
    <row r="1007" spans="1:2">
      <c r="A1007" s="126"/>
      <c r="B1007" s="680"/>
    </row>
    <row r="1008" spans="1:2">
      <c r="A1008" s="126"/>
      <c r="B1008" s="680"/>
    </row>
    <row r="1009" spans="1:2">
      <c r="A1009" s="126"/>
      <c r="B1009" s="680"/>
    </row>
    <row r="1010" spans="1:2">
      <c r="A1010" s="126"/>
      <c r="B1010" s="680"/>
    </row>
    <row r="1011" spans="1:2">
      <c r="A1011" s="126"/>
      <c r="B1011" s="680"/>
    </row>
    <row r="1012" spans="1:2">
      <c r="A1012" s="126"/>
      <c r="B1012" s="680"/>
    </row>
    <row r="1013" spans="1:2">
      <c r="A1013" s="126"/>
      <c r="B1013" s="680"/>
    </row>
    <row r="1014" spans="1:2">
      <c r="A1014" s="126"/>
      <c r="B1014" s="680"/>
    </row>
    <row r="1015" spans="1:2">
      <c r="A1015" s="126"/>
      <c r="B1015" s="680"/>
    </row>
    <row r="1016" spans="1:2">
      <c r="A1016" s="126"/>
      <c r="B1016" s="680"/>
    </row>
    <row r="1017" spans="1:2">
      <c r="A1017" s="126"/>
      <c r="B1017" s="680"/>
    </row>
    <row r="1018" spans="1:2">
      <c r="A1018" s="126"/>
      <c r="B1018" s="680"/>
    </row>
    <row r="1019" spans="1:2">
      <c r="A1019" s="126"/>
      <c r="B1019" s="680"/>
    </row>
    <row r="1020" spans="1:2">
      <c r="A1020" s="126"/>
      <c r="B1020" s="680"/>
    </row>
    <row r="1021" spans="1:2">
      <c r="A1021" s="126"/>
      <c r="B1021" s="680"/>
    </row>
    <row r="1022" spans="1:2">
      <c r="A1022" s="126"/>
      <c r="B1022" s="680"/>
    </row>
    <row r="1023" spans="1:2">
      <c r="A1023" s="126"/>
      <c r="B1023" s="680"/>
    </row>
    <row r="1024" spans="1:2">
      <c r="A1024" s="126"/>
      <c r="B1024" s="680"/>
    </row>
    <row r="1025" spans="1:2">
      <c r="A1025" s="126"/>
      <c r="B1025" s="680"/>
    </row>
    <row r="1026" spans="1:2">
      <c r="A1026" s="126"/>
      <c r="B1026" s="680"/>
    </row>
    <row r="1027" spans="1:2">
      <c r="A1027" s="126"/>
      <c r="B1027" s="680"/>
    </row>
    <row r="1028" spans="1:2">
      <c r="A1028" s="126"/>
      <c r="B1028" s="680"/>
    </row>
    <row r="1029" spans="1:2">
      <c r="A1029" s="126"/>
      <c r="B1029" s="680"/>
    </row>
    <row r="1030" spans="1:2">
      <c r="A1030" s="126"/>
      <c r="B1030" s="680"/>
    </row>
    <row r="1031" spans="1:2">
      <c r="A1031" s="126"/>
      <c r="B1031" s="680"/>
    </row>
    <row r="1032" spans="1:2">
      <c r="A1032" s="126"/>
      <c r="B1032" s="680"/>
    </row>
    <row r="1033" spans="1:2">
      <c r="A1033" s="126"/>
      <c r="B1033" s="680"/>
    </row>
    <row r="1034" spans="1:2">
      <c r="A1034" s="126"/>
      <c r="B1034" s="680"/>
    </row>
    <row r="1035" spans="1:2">
      <c r="A1035" s="126"/>
      <c r="B1035" s="680"/>
    </row>
    <row r="1036" spans="1:2">
      <c r="A1036" s="126"/>
      <c r="B1036" s="680"/>
    </row>
    <row r="1037" spans="1:2">
      <c r="A1037" s="126"/>
      <c r="B1037" s="680"/>
    </row>
    <row r="1038" spans="1:2">
      <c r="A1038" s="126"/>
      <c r="B1038" s="680"/>
    </row>
    <row r="1039" spans="1:2">
      <c r="A1039" s="126"/>
      <c r="B1039" s="680"/>
    </row>
    <row r="1040" spans="1:2">
      <c r="A1040" s="126"/>
      <c r="B1040" s="680"/>
    </row>
    <row r="1041" spans="1:2">
      <c r="A1041" s="126"/>
      <c r="B1041" s="680"/>
    </row>
    <row r="1042" spans="1:2">
      <c r="A1042" s="126"/>
      <c r="B1042" s="680"/>
    </row>
    <row r="1043" spans="1:2">
      <c r="A1043" s="126"/>
      <c r="B1043" s="680"/>
    </row>
    <row r="1044" spans="1:2">
      <c r="A1044" s="126"/>
      <c r="B1044" s="680"/>
    </row>
    <row r="1045" spans="1:2">
      <c r="A1045" s="126"/>
      <c r="B1045" s="680"/>
    </row>
    <row r="1046" spans="1:2">
      <c r="A1046" s="126"/>
      <c r="B1046" s="680"/>
    </row>
    <row r="1047" spans="1:2">
      <c r="A1047" s="126"/>
      <c r="B1047" s="680"/>
    </row>
    <row r="1048" spans="1:2">
      <c r="A1048" s="126"/>
      <c r="B1048" s="680"/>
    </row>
    <row r="1049" spans="1:2">
      <c r="A1049" s="126"/>
      <c r="B1049" s="680"/>
    </row>
    <row r="1050" spans="1:2">
      <c r="A1050" s="126"/>
      <c r="B1050" s="680"/>
    </row>
    <row r="1051" spans="1:2">
      <c r="A1051" s="126"/>
      <c r="B1051" s="680"/>
    </row>
    <row r="1052" spans="1:2">
      <c r="A1052" s="126"/>
      <c r="B1052" s="680"/>
    </row>
    <row r="1053" spans="1:2">
      <c r="A1053" s="126"/>
      <c r="B1053" s="680"/>
    </row>
    <row r="1054" spans="1:2">
      <c r="A1054" s="126"/>
      <c r="B1054" s="680"/>
    </row>
    <row r="1055" spans="1:2">
      <c r="A1055" s="126"/>
      <c r="B1055" s="680"/>
    </row>
    <row r="1056" spans="1:2">
      <c r="A1056" s="126"/>
      <c r="B1056" s="680"/>
    </row>
    <row r="1057" spans="1:2">
      <c r="A1057" s="126"/>
      <c r="B1057" s="680"/>
    </row>
    <row r="1058" spans="1:2">
      <c r="A1058" s="126"/>
      <c r="B1058" s="680"/>
    </row>
    <row r="1059" spans="1:2">
      <c r="A1059" s="126"/>
      <c r="B1059" s="680"/>
    </row>
    <row r="1060" spans="1:2">
      <c r="A1060" s="126"/>
      <c r="B1060" s="680"/>
    </row>
    <row r="1061" spans="1:2">
      <c r="A1061" s="126"/>
      <c r="B1061" s="680"/>
    </row>
    <row r="1062" spans="1:2">
      <c r="A1062" s="126"/>
      <c r="B1062" s="680"/>
    </row>
    <row r="1063" spans="1:2">
      <c r="A1063" s="126"/>
      <c r="B1063" s="680"/>
    </row>
    <row r="1064" spans="1:2">
      <c r="A1064" s="126"/>
      <c r="B1064" s="680"/>
    </row>
    <row r="1065" spans="1:2">
      <c r="A1065" s="126"/>
      <c r="B1065" s="680"/>
    </row>
    <row r="1066" spans="1:2">
      <c r="A1066" s="126"/>
      <c r="B1066" s="680"/>
    </row>
    <row r="1067" spans="1:2">
      <c r="A1067" s="126"/>
      <c r="B1067" s="680"/>
    </row>
    <row r="1068" spans="1:2">
      <c r="A1068" s="126"/>
      <c r="B1068" s="680"/>
    </row>
    <row r="1069" spans="1:2">
      <c r="A1069" s="126"/>
      <c r="B1069" s="680"/>
    </row>
    <row r="1070" spans="1:2">
      <c r="A1070" s="126"/>
      <c r="B1070" s="680"/>
    </row>
    <row r="1071" spans="1:2">
      <c r="A1071" s="126"/>
      <c r="B1071" s="680"/>
    </row>
    <row r="1072" spans="1:2">
      <c r="A1072" s="126"/>
      <c r="B1072" s="680"/>
    </row>
    <row r="1073" spans="1:2">
      <c r="A1073" s="126"/>
      <c r="B1073" s="680"/>
    </row>
    <row r="1074" spans="1:2">
      <c r="A1074" s="126"/>
      <c r="B1074" s="680"/>
    </row>
    <row r="1075" spans="1:2">
      <c r="A1075" s="126"/>
      <c r="B1075" s="680"/>
    </row>
    <row r="1076" spans="1:2">
      <c r="A1076" s="126"/>
      <c r="B1076" s="680"/>
    </row>
    <row r="1077" spans="1:2">
      <c r="A1077" s="126"/>
      <c r="B1077" s="680"/>
    </row>
    <row r="1078" spans="1:2">
      <c r="A1078" s="126"/>
      <c r="B1078" s="680"/>
    </row>
    <row r="1079" spans="1:2">
      <c r="A1079" s="126"/>
      <c r="B1079" s="680"/>
    </row>
    <row r="1080" spans="1:2">
      <c r="A1080" s="126"/>
      <c r="B1080" s="680"/>
    </row>
    <row r="1081" spans="1:2">
      <c r="A1081" s="126"/>
      <c r="B1081" s="680"/>
    </row>
    <row r="1082" spans="1:2">
      <c r="A1082" s="126"/>
      <c r="B1082" s="680"/>
    </row>
    <row r="1083" spans="1:2">
      <c r="A1083" s="126"/>
      <c r="B1083" s="680"/>
    </row>
    <row r="1084" spans="1:2">
      <c r="A1084" s="126"/>
      <c r="B1084" s="680"/>
    </row>
    <row r="1085" spans="1:2">
      <c r="A1085" s="126"/>
      <c r="B1085" s="680"/>
    </row>
    <row r="1086" spans="1:2">
      <c r="A1086" s="126"/>
      <c r="B1086" s="680"/>
    </row>
    <row r="1087" spans="1:2">
      <c r="A1087" s="126"/>
      <c r="B1087" s="680"/>
    </row>
    <row r="1088" spans="1:2">
      <c r="A1088" s="126"/>
      <c r="B1088" s="680"/>
    </row>
    <row r="1089" spans="1:2">
      <c r="A1089" s="126"/>
      <c r="B1089" s="680"/>
    </row>
    <row r="1090" spans="1:2">
      <c r="A1090" s="126"/>
      <c r="B1090" s="680"/>
    </row>
    <row r="1091" spans="1:2">
      <c r="A1091" s="126"/>
      <c r="B1091" s="680"/>
    </row>
    <row r="1092" spans="1:2">
      <c r="A1092" s="126"/>
      <c r="B1092" s="680"/>
    </row>
    <row r="1093" spans="1:2">
      <c r="A1093" s="126"/>
      <c r="B1093" s="680"/>
    </row>
    <row r="1094" spans="1:2">
      <c r="A1094" s="126"/>
      <c r="B1094" s="680"/>
    </row>
    <row r="1095" spans="1:2">
      <c r="A1095" s="126"/>
      <c r="B1095" s="680"/>
    </row>
    <row r="1096" spans="1:2">
      <c r="A1096" s="126"/>
      <c r="B1096" s="680"/>
    </row>
    <row r="1097" spans="1:2">
      <c r="A1097" s="126"/>
      <c r="B1097" s="680"/>
    </row>
    <row r="1098" spans="1:2">
      <c r="A1098" s="126"/>
      <c r="B1098" s="680"/>
    </row>
    <row r="1099" spans="1:2">
      <c r="A1099" s="126"/>
      <c r="B1099" s="680"/>
    </row>
    <row r="1100" spans="1:2">
      <c r="A1100" s="126"/>
      <c r="B1100" s="680"/>
    </row>
    <row r="1101" spans="1:2">
      <c r="A1101" s="126"/>
      <c r="B1101" s="680"/>
    </row>
    <row r="1102" spans="1:2">
      <c r="A1102" s="126"/>
      <c r="B1102" s="680"/>
    </row>
    <row r="1103" spans="1:2">
      <c r="A1103" s="126"/>
      <c r="B1103" s="680"/>
    </row>
    <row r="1104" spans="1:2">
      <c r="A1104" s="126"/>
      <c r="B1104" s="680"/>
    </row>
    <row r="1105" spans="1:2">
      <c r="A1105" s="126"/>
      <c r="B1105" s="680"/>
    </row>
    <row r="1106" spans="1:2">
      <c r="A1106" s="126"/>
      <c r="B1106" s="680"/>
    </row>
    <row r="1107" spans="1:2">
      <c r="A1107" s="126"/>
      <c r="B1107" s="680"/>
    </row>
    <row r="1108" spans="1:2">
      <c r="A1108" s="126"/>
      <c r="B1108" s="680"/>
    </row>
    <row r="1109" spans="1:2">
      <c r="A1109" s="126"/>
      <c r="B1109" s="680"/>
    </row>
    <row r="1110" spans="1:2">
      <c r="A1110" s="126"/>
      <c r="B1110" s="680"/>
    </row>
    <row r="1111" spans="1:2">
      <c r="A1111" s="126"/>
      <c r="B1111" s="680"/>
    </row>
    <row r="1112" spans="1:2">
      <c r="A1112" s="126"/>
      <c r="B1112" s="680"/>
    </row>
    <row r="1113" spans="1:2">
      <c r="A1113" s="126"/>
      <c r="B1113" s="680"/>
    </row>
    <row r="1114" spans="1:2">
      <c r="A1114" s="126"/>
      <c r="B1114" s="680"/>
    </row>
    <row r="1115" spans="1:2">
      <c r="A1115" s="126"/>
      <c r="B1115" s="680"/>
    </row>
    <row r="1116" spans="1:2">
      <c r="A1116" s="126"/>
      <c r="B1116" s="680"/>
    </row>
    <row r="1117" spans="1:2">
      <c r="A1117" s="126"/>
      <c r="B1117" s="680"/>
    </row>
    <row r="1118" spans="1:2">
      <c r="A1118" s="126"/>
      <c r="B1118" s="680"/>
    </row>
    <row r="1119" spans="1:2">
      <c r="A1119" s="126"/>
      <c r="B1119" s="680"/>
    </row>
    <row r="1120" spans="1:2">
      <c r="A1120" s="126"/>
      <c r="B1120" s="680"/>
    </row>
    <row r="1121" spans="1:2">
      <c r="A1121" s="126"/>
      <c r="B1121" s="680"/>
    </row>
    <row r="1122" spans="1:2">
      <c r="A1122" s="126"/>
      <c r="B1122" s="680"/>
    </row>
    <row r="1123" spans="1:2">
      <c r="A1123" s="126"/>
      <c r="B1123" s="680"/>
    </row>
    <row r="1124" spans="1:2">
      <c r="A1124" s="126"/>
      <c r="B1124" s="680"/>
    </row>
    <row r="1125" spans="1:2">
      <c r="A1125" s="126"/>
      <c r="B1125" s="680"/>
    </row>
    <row r="1126" spans="1:2">
      <c r="A1126" s="126"/>
      <c r="B1126" s="680"/>
    </row>
    <row r="1127" spans="1:2">
      <c r="A1127" s="126"/>
      <c r="B1127" s="680"/>
    </row>
    <row r="1128" spans="1:2">
      <c r="A1128" s="126"/>
      <c r="B1128" s="680"/>
    </row>
    <row r="1129" spans="1:2">
      <c r="A1129" s="126"/>
      <c r="B1129" s="680"/>
    </row>
    <row r="1130" spans="1:2">
      <c r="A1130" s="126"/>
      <c r="B1130" s="680"/>
    </row>
    <row r="1131" spans="1:2">
      <c r="A1131" s="126"/>
      <c r="B1131" s="680"/>
    </row>
    <row r="1132" spans="1:2">
      <c r="A1132" s="126"/>
      <c r="B1132" s="680"/>
    </row>
    <row r="1133" spans="1:2">
      <c r="A1133" s="126"/>
      <c r="B1133" s="680"/>
    </row>
    <row r="1134" spans="1:2">
      <c r="A1134" s="126"/>
      <c r="B1134" s="680"/>
    </row>
    <row r="1135" spans="1:2">
      <c r="A1135" s="126"/>
      <c r="B1135" s="680"/>
    </row>
    <row r="1136" spans="1:2">
      <c r="A1136" s="126"/>
      <c r="B1136" s="680"/>
    </row>
    <row r="1137" spans="1:2">
      <c r="A1137" s="126"/>
      <c r="B1137" s="680"/>
    </row>
    <row r="1138" spans="1:2">
      <c r="A1138" s="126"/>
      <c r="B1138" s="680"/>
    </row>
    <row r="1139" spans="1:2">
      <c r="A1139" s="126"/>
      <c r="B1139" s="680"/>
    </row>
    <row r="1140" spans="1:2">
      <c r="A1140" s="126"/>
      <c r="B1140" s="680"/>
    </row>
    <row r="1141" spans="1:2">
      <c r="A1141" s="126"/>
      <c r="B1141" s="680"/>
    </row>
    <row r="1142" spans="1:2">
      <c r="A1142" s="126"/>
      <c r="B1142" s="680"/>
    </row>
    <row r="1143" spans="1:2">
      <c r="A1143" s="126"/>
      <c r="B1143" s="680"/>
    </row>
    <row r="1144" spans="1:2">
      <c r="A1144" s="126"/>
      <c r="B1144" s="680"/>
    </row>
    <row r="1145" spans="1:2">
      <c r="A1145" s="126"/>
      <c r="B1145" s="680"/>
    </row>
    <row r="1146" spans="1:2">
      <c r="A1146" s="126"/>
      <c r="B1146" s="680"/>
    </row>
    <row r="1147" spans="1:2">
      <c r="A1147" s="126"/>
      <c r="B1147" s="680"/>
    </row>
    <row r="1148" spans="1:2">
      <c r="A1148" s="126"/>
      <c r="B1148" s="680"/>
    </row>
    <row r="1149" spans="1:2">
      <c r="A1149" s="126"/>
      <c r="B1149" s="680"/>
    </row>
    <row r="1150" spans="1:2">
      <c r="A1150" s="126"/>
      <c r="B1150" s="680"/>
    </row>
    <row r="1151" spans="1:2">
      <c r="A1151" s="126"/>
      <c r="B1151" s="680"/>
    </row>
    <row r="1152" spans="1:2">
      <c r="A1152" s="126"/>
      <c r="B1152" s="680"/>
    </row>
    <row r="1153" spans="1:2">
      <c r="A1153" s="126"/>
      <c r="B1153" s="680"/>
    </row>
    <row r="1154" spans="1:2">
      <c r="A1154" s="126"/>
      <c r="B1154" s="680"/>
    </row>
    <row r="1155" spans="1:2">
      <c r="A1155" s="126"/>
      <c r="B1155" s="680"/>
    </row>
    <row r="1156" spans="1:2">
      <c r="A1156" s="126"/>
      <c r="B1156" s="680"/>
    </row>
    <row r="1157" spans="1:2">
      <c r="A1157" s="126"/>
      <c r="B1157" s="680"/>
    </row>
    <row r="1158" spans="1:2">
      <c r="A1158" s="126"/>
      <c r="B1158" s="680"/>
    </row>
    <row r="1159" spans="1:2">
      <c r="A1159" s="126"/>
      <c r="B1159" s="680"/>
    </row>
    <row r="1160" spans="1:2">
      <c r="A1160" s="126"/>
      <c r="B1160" s="680"/>
    </row>
    <row r="1161" spans="1:2">
      <c r="A1161" s="126"/>
      <c r="B1161" s="680"/>
    </row>
    <row r="1162" spans="1:2">
      <c r="A1162" s="126"/>
      <c r="B1162" s="680"/>
    </row>
    <row r="1163" spans="1:2">
      <c r="A1163" s="126"/>
      <c r="B1163" s="680"/>
    </row>
    <row r="1164" spans="1:2">
      <c r="A1164" s="126"/>
      <c r="B1164" s="680"/>
    </row>
    <row r="1165" spans="1:2">
      <c r="A1165" s="126"/>
      <c r="B1165" s="680"/>
    </row>
    <row r="1166" spans="1:2">
      <c r="A1166" s="126"/>
      <c r="B1166" s="680"/>
    </row>
    <row r="1167" spans="1:2">
      <c r="A1167" s="126"/>
      <c r="B1167" s="680"/>
    </row>
    <row r="1168" spans="1:2">
      <c r="A1168" s="126"/>
      <c r="B1168" s="680"/>
    </row>
    <row r="1169" spans="1:2">
      <c r="A1169" s="126"/>
      <c r="B1169" s="680"/>
    </row>
    <row r="1170" spans="1:2">
      <c r="A1170" s="126"/>
      <c r="B1170" s="680"/>
    </row>
    <row r="1171" spans="1:2">
      <c r="A1171" s="126"/>
      <c r="B1171" s="680"/>
    </row>
    <row r="1172" spans="1:2">
      <c r="A1172" s="126"/>
      <c r="B1172" s="680"/>
    </row>
    <row r="1173" spans="1:2">
      <c r="A1173" s="126"/>
      <c r="B1173" s="680"/>
    </row>
    <row r="1174" spans="1:2">
      <c r="A1174" s="126"/>
      <c r="B1174" s="680"/>
    </row>
    <row r="1175" spans="1:2">
      <c r="A1175" s="126"/>
      <c r="B1175" s="680"/>
    </row>
    <row r="1176" spans="1:2">
      <c r="A1176" s="126"/>
      <c r="B1176" s="680"/>
    </row>
    <row r="1177" spans="1:2">
      <c r="A1177" s="126"/>
      <c r="B1177" s="680"/>
    </row>
    <row r="1178" spans="1:2">
      <c r="A1178" s="126"/>
      <c r="B1178" s="680"/>
    </row>
    <row r="1179" spans="1:2">
      <c r="A1179" s="126"/>
      <c r="B1179" s="680"/>
    </row>
    <row r="1180" spans="1:2">
      <c r="A1180" s="126"/>
      <c r="B1180" s="680"/>
    </row>
    <row r="1181" spans="1:2">
      <c r="A1181" s="126"/>
      <c r="B1181" s="680"/>
    </row>
    <row r="1182" spans="1:2">
      <c r="A1182" s="126"/>
      <c r="B1182" s="680"/>
    </row>
    <row r="1183" spans="1:2">
      <c r="A1183" s="126"/>
      <c r="B1183" s="680"/>
    </row>
    <row r="1184" spans="1:2">
      <c r="A1184" s="126"/>
      <c r="B1184" s="680"/>
    </row>
    <row r="1185" spans="1:2">
      <c r="A1185" s="126"/>
      <c r="B1185" s="680"/>
    </row>
    <row r="1186" spans="1:2">
      <c r="A1186" s="126"/>
      <c r="B1186" s="680"/>
    </row>
    <row r="1187" spans="1:2">
      <c r="A1187" s="126"/>
      <c r="B1187" s="680"/>
    </row>
    <row r="1188" spans="1:2">
      <c r="A1188" s="126"/>
      <c r="B1188" s="680"/>
    </row>
    <row r="1189" spans="1:2">
      <c r="A1189" s="126"/>
      <c r="B1189" s="680"/>
    </row>
    <row r="1190" spans="1:2">
      <c r="A1190" s="126"/>
      <c r="B1190" s="680"/>
    </row>
    <row r="1191" spans="1:2">
      <c r="A1191" s="126"/>
      <c r="B1191" s="680"/>
    </row>
    <row r="1192" spans="1:2">
      <c r="A1192" s="126"/>
      <c r="B1192" s="680"/>
    </row>
    <row r="1193" spans="1:2">
      <c r="A1193" s="126"/>
      <c r="B1193" s="680"/>
    </row>
    <row r="1194" spans="1:2">
      <c r="A1194" s="126"/>
      <c r="B1194" s="680"/>
    </row>
    <row r="1195" spans="1:2">
      <c r="A1195" s="126"/>
      <c r="B1195" s="680"/>
    </row>
    <row r="1196" spans="1:2">
      <c r="A1196" s="126"/>
      <c r="B1196" s="680"/>
    </row>
    <row r="1197" spans="1:2">
      <c r="A1197" s="126"/>
      <c r="B1197" s="680"/>
    </row>
    <row r="1198" spans="1:2">
      <c r="A1198" s="126"/>
      <c r="B1198" s="680"/>
    </row>
    <row r="1199" spans="1:2">
      <c r="A1199" s="126"/>
      <c r="B1199" s="680"/>
    </row>
    <row r="1200" spans="1:2">
      <c r="A1200" s="126"/>
      <c r="B1200" s="680"/>
    </row>
    <row r="1201" spans="1:2">
      <c r="A1201" s="126"/>
      <c r="B1201" s="680"/>
    </row>
    <row r="1202" spans="1:2">
      <c r="A1202" s="126"/>
      <c r="B1202" s="680"/>
    </row>
    <row r="1203" spans="1:2">
      <c r="A1203" s="126"/>
      <c r="B1203" s="680"/>
    </row>
    <row r="1204" spans="1:2">
      <c r="A1204" s="126"/>
      <c r="B1204" s="680"/>
    </row>
    <row r="1205" spans="1:2">
      <c r="A1205" s="126"/>
      <c r="B1205" s="680"/>
    </row>
    <row r="1206" spans="1:2">
      <c r="A1206" s="126"/>
      <c r="B1206" s="680"/>
    </row>
    <row r="1207" spans="1:2">
      <c r="A1207" s="126"/>
      <c r="B1207" s="680"/>
    </row>
    <row r="1208" spans="1:2">
      <c r="A1208" s="126"/>
      <c r="B1208" s="680"/>
    </row>
    <row r="1209" spans="1:2">
      <c r="A1209" s="126"/>
      <c r="B1209" s="680"/>
    </row>
    <row r="1210" spans="1:2">
      <c r="A1210" s="126"/>
      <c r="B1210" s="680"/>
    </row>
    <row r="1211" spans="1:2">
      <c r="A1211" s="126"/>
      <c r="B1211" s="680"/>
    </row>
    <row r="1212" spans="1:2">
      <c r="A1212" s="126"/>
      <c r="B1212" s="680"/>
    </row>
    <row r="1213" spans="1:2">
      <c r="A1213" s="126"/>
      <c r="B1213" s="680"/>
    </row>
    <row r="1214" spans="1:2">
      <c r="A1214" s="126"/>
      <c r="B1214" s="680"/>
    </row>
    <row r="1215" spans="1:2">
      <c r="A1215" s="126"/>
      <c r="B1215" s="680"/>
    </row>
    <row r="1216" spans="1:2">
      <c r="A1216" s="126"/>
      <c r="B1216" s="680"/>
    </row>
    <row r="1217" spans="1:2">
      <c r="A1217" s="126"/>
      <c r="B1217" s="680"/>
    </row>
    <row r="1218" spans="1:2">
      <c r="A1218" s="126"/>
      <c r="B1218" s="680"/>
    </row>
    <row r="1219" spans="1:2">
      <c r="A1219" s="126"/>
      <c r="B1219" s="680"/>
    </row>
    <row r="1220" spans="1:2">
      <c r="A1220" s="126"/>
      <c r="B1220" s="680"/>
    </row>
    <row r="1221" spans="1:2">
      <c r="A1221" s="126"/>
      <c r="B1221" s="680"/>
    </row>
    <row r="1222" spans="1:2">
      <c r="A1222" s="126"/>
      <c r="B1222" s="680"/>
    </row>
    <row r="1223" spans="1:2">
      <c r="A1223" s="126"/>
      <c r="B1223" s="680"/>
    </row>
    <row r="1224" spans="1:2">
      <c r="A1224" s="126"/>
      <c r="B1224" s="680"/>
    </row>
    <row r="1225" spans="1:2">
      <c r="A1225" s="126"/>
      <c r="B1225" s="680"/>
    </row>
    <row r="1226" spans="1:2">
      <c r="A1226" s="126"/>
      <c r="B1226" s="680"/>
    </row>
    <row r="1227" spans="1:2">
      <c r="A1227" s="126"/>
      <c r="B1227" s="680"/>
    </row>
    <row r="1228" spans="1:2">
      <c r="A1228" s="126"/>
      <c r="B1228" s="680"/>
    </row>
    <row r="1229" spans="1:2">
      <c r="A1229" s="126"/>
      <c r="B1229" s="680"/>
    </row>
    <row r="1230" spans="1:2">
      <c r="A1230" s="126"/>
      <c r="B1230" s="680"/>
    </row>
    <row r="1231" spans="1:2">
      <c r="A1231" s="126"/>
      <c r="B1231" s="680"/>
    </row>
    <row r="1232" spans="1:2">
      <c r="A1232" s="126"/>
      <c r="B1232" s="680"/>
    </row>
    <row r="1233" spans="1:2">
      <c r="A1233" s="126"/>
      <c r="B1233" s="680"/>
    </row>
    <row r="1234" spans="1:2">
      <c r="A1234" s="126"/>
      <c r="B1234" s="680"/>
    </row>
    <row r="1235" spans="1:2">
      <c r="A1235" s="126"/>
      <c r="B1235" s="680"/>
    </row>
    <row r="1236" spans="1:2">
      <c r="A1236" s="126"/>
      <c r="B1236" s="680"/>
    </row>
    <row r="1237" spans="1:2">
      <c r="A1237" s="126"/>
      <c r="B1237" s="680"/>
    </row>
    <row r="1238" spans="1:2">
      <c r="A1238" s="126"/>
      <c r="B1238" s="680"/>
    </row>
    <row r="1239" spans="1:2">
      <c r="A1239" s="126"/>
      <c r="B1239" s="680"/>
    </row>
    <row r="1240" spans="1:2">
      <c r="A1240" s="126"/>
      <c r="B1240" s="680"/>
    </row>
    <row r="1241" spans="1:2">
      <c r="A1241" s="126"/>
      <c r="B1241" s="680"/>
    </row>
    <row r="1242" spans="1:2">
      <c r="A1242" s="126"/>
      <c r="B1242" s="680"/>
    </row>
    <row r="1243" spans="1:2">
      <c r="A1243" s="126"/>
      <c r="B1243" s="680"/>
    </row>
    <row r="1244" spans="1:2">
      <c r="A1244" s="126"/>
      <c r="B1244" s="680"/>
    </row>
    <row r="1245" spans="1:2">
      <c r="A1245" s="126"/>
      <c r="B1245" s="680"/>
    </row>
    <row r="1246" spans="1:2">
      <c r="A1246" s="126"/>
      <c r="B1246" s="680"/>
    </row>
    <row r="1247" spans="1:2">
      <c r="A1247" s="126"/>
      <c r="B1247" s="680"/>
    </row>
    <row r="1248" spans="1:2">
      <c r="A1248" s="126"/>
      <c r="B1248" s="680"/>
    </row>
    <row r="1249" spans="1:2">
      <c r="A1249" s="126"/>
      <c r="B1249" s="680"/>
    </row>
    <row r="1250" spans="1:2">
      <c r="A1250" s="126"/>
      <c r="B1250" s="680"/>
    </row>
    <row r="1251" spans="1:2">
      <c r="A1251" s="126"/>
      <c r="B1251" s="680"/>
    </row>
    <row r="1252" spans="1:2">
      <c r="A1252" s="126"/>
      <c r="B1252" s="680"/>
    </row>
    <row r="1253" spans="1:2">
      <c r="A1253" s="126"/>
      <c r="B1253" s="680"/>
    </row>
    <row r="1254" spans="1:2">
      <c r="A1254" s="126"/>
      <c r="B1254" s="680"/>
    </row>
    <row r="1255" spans="1:2">
      <c r="A1255" s="126"/>
      <c r="B1255" s="680"/>
    </row>
    <row r="1256" spans="1:2">
      <c r="A1256" s="126"/>
      <c r="B1256" s="680"/>
    </row>
    <row r="1257" spans="1:2">
      <c r="A1257" s="126"/>
      <c r="B1257" s="680"/>
    </row>
    <row r="1258" spans="1:2">
      <c r="A1258" s="126"/>
      <c r="B1258" s="680"/>
    </row>
    <row r="1259" spans="1:2">
      <c r="A1259" s="126"/>
      <c r="B1259" s="680"/>
    </row>
    <row r="1260" spans="1:2">
      <c r="A1260" s="126"/>
      <c r="B1260" s="680"/>
    </row>
    <row r="1261" spans="1:2">
      <c r="A1261" s="126"/>
      <c r="B1261" s="680"/>
    </row>
    <row r="1262" spans="1:2">
      <c r="A1262" s="126"/>
      <c r="B1262" s="680"/>
    </row>
    <row r="1263" spans="1:2">
      <c r="A1263" s="126"/>
      <c r="B1263" s="680"/>
    </row>
    <row r="1264" spans="1:2">
      <c r="A1264" s="126"/>
      <c r="B1264" s="680"/>
    </row>
    <row r="1265" spans="1:2">
      <c r="A1265" s="126"/>
      <c r="B1265" s="680"/>
    </row>
    <row r="1266" spans="1:2">
      <c r="A1266" s="126"/>
      <c r="B1266" s="680"/>
    </row>
    <row r="1267" spans="1:2">
      <c r="A1267" s="126"/>
      <c r="B1267" s="680"/>
    </row>
    <row r="1268" spans="1:2">
      <c r="A1268" s="126"/>
      <c r="B1268" s="680"/>
    </row>
    <row r="1269" spans="1:2">
      <c r="A1269" s="126"/>
      <c r="B1269" s="680"/>
    </row>
    <row r="1270" spans="1:2">
      <c r="A1270" s="126"/>
      <c r="B1270" s="680"/>
    </row>
    <row r="1271" spans="1:2">
      <c r="A1271" s="126"/>
      <c r="B1271" s="680"/>
    </row>
    <row r="1272" spans="1:2">
      <c r="A1272" s="126"/>
      <c r="B1272" s="680"/>
    </row>
    <row r="1273" spans="1:2">
      <c r="A1273" s="126"/>
      <c r="B1273" s="680"/>
    </row>
    <row r="1274" spans="1:2">
      <c r="A1274" s="126"/>
      <c r="B1274" s="680"/>
    </row>
    <row r="1275" spans="1:2">
      <c r="A1275" s="126"/>
      <c r="B1275" s="680"/>
    </row>
    <row r="1276" spans="1:2">
      <c r="A1276" s="126"/>
      <c r="B1276" s="680"/>
    </row>
    <row r="1277" spans="1:2">
      <c r="A1277" s="126"/>
      <c r="B1277" s="680"/>
    </row>
    <row r="1278" spans="1:2">
      <c r="A1278" s="126"/>
      <c r="B1278" s="680"/>
    </row>
    <row r="1279" spans="1:2">
      <c r="A1279" s="126"/>
      <c r="B1279" s="680"/>
    </row>
    <row r="1280" spans="1:2">
      <c r="A1280" s="126"/>
      <c r="B1280" s="680"/>
    </row>
    <row r="1281" spans="1:2">
      <c r="A1281" s="126"/>
      <c r="B1281" s="680"/>
    </row>
    <row r="1282" spans="1:2">
      <c r="A1282" s="126"/>
      <c r="B1282" s="680"/>
    </row>
    <row r="1283" spans="1:2">
      <c r="A1283" s="126"/>
      <c r="B1283" s="680"/>
    </row>
    <row r="1284" spans="1:2">
      <c r="A1284" s="126"/>
      <c r="B1284" s="680"/>
    </row>
    <row r="1285" spans="1:2">
      <c r="A1285" s="126"/>
      <c r="B1285" s="680"/>
    </row>
    <row r="1286" spans="1:2">
      <c r="A1286" s="126"/>
      <c r="B1286" s="680"/>
    </row>
    <row r="1287" spans="1:2">
      <c r="A1287" s="126"/>
      <c r="B1287" s="680"/>
    </row>
    <row r="1288" spans="1:2">
      <c r="A1288" s="126"/>
      <c r="B1288" s="680"/>
    </row>
    <row r="1289" spans="1:2">
      <c r="A1289" s="126"/>
      <c r="B1289" s="680"/>
    </row>
    <row r="1290" spans="1:2">
      <c r="A1290" s="126"/>
      <c r="B1290" s="680"/>
    </row>
    <row r="1291" spans="1:2">
      <c r="A1291" s="126"/>
      <c r="B1291" s="680"/>
    </row>
    <row r="1292" spans="1:2">
      <c r="A1292" s="126"/>
      <c r="B1292" s="680"/>
    </row>
    <row r="1293" spans="1:2">
      <c r="A1293" s="126"/>
      <c r="B1293" s="680"/>
    </row>
    <row r="1294" spans="1:2">
      <c r="A1294" s="126"/>
      <c r="B1294" s="680"/>
    </row>
    <row r="1295" spans="1:2">
      <c r="A1295" s="126"/>
      <c r="B1295" s="680"/>
    </row>
    <row r="1296" spans="1:2">
      <c r="A1296" s="126"/>
      <c r="B1296" s="680"/>
    </row>
    <row r="1297" spans="1:2">
      <c r="A1297" s="126"/>
      <c r="B1297" s="680"/>
    </row>
    <row r="1298" spans="1:2">
      <c r="A1298" s="126"/>
      <c r="B1298" s="680"/>
    </row>
    <row r="1299" spans="1:2">
      <c r="A1299" s="126"/>
      <c r="B1299" s="680"/>
    </row>
    <row r="1300" spans="1:2">
      <c r="A1300" s="126"/>
      <c r="B1300" s="680"/>
    </row>
    <row r="1301" spans="1:2">
      <c r="A1301" s="126"/>
      <c r="B1301" s="680"/>
    </row>
    <row r="1302" spans="1:2">
      <c r="A1302" s="126"/>
      <c r="B1302" s="680"/>
    </row>
    <row r="1303" spans="1:2">
      <c r="A1303" s="126"/>
      <c r="B1303" s="680"/>
    </row>
    <row r="1304" spans="1:2">
      <c r="A1304" s="126"/>
      <c r="B1304" s="680"/>
    </row>
    <row r="1305" spans="1:2">
      <c r="A1305" s="126"/>
      <c r="B1305" s="680"/>
    </row>
    <row r="1306" spans="1:2">
      <c r="A1306" s="126"/>
      <c r="B1306" s="680"/>
    </row>
    <row r="1307" spans="1:2">
      <c r="A1307" s="126"/>
      <c r="B1307" s="680"/>
    </row>
    <row r="1308" spans="1:2">
      <c r="A1308" s="126"/>
      <c r="B1308" s="680"/>
    </row>
    <row r="1309" spans="1:2">
      <c r="A1309" s="126"/>
      <c r="B1309" s="680"/>
    </row>
    <row r="1310" spans="1:2">
      <c r="A1310" s="126"/>
      <c r="B1310" s="680"/>
    </row>
    <row r="1311" spans="1:2">
      <c r="A1311" s="126"/>
      <c r="B1311" s="680"/>
    </row>
    <row r="1312" spans="1:2">
      <c r="A1312" s="126"/>
      <c r="B1312" s="680"/>
    </row>
    <row r="1313" spans="1:2">
      <c r="A1313" s="126"/>
      <c r="B1313" s="680"/>
    </row>
    <row r="1314" spans="1:2">
      <c r="A1314" s="126"/>
      <c r="B1314" s="680"/>
    </row>
    <row r="1315" spans="1:2">
      <c r="A1315" s="126"/>
      <c r="B1315" s="680"/>
    </row>
    <row r="1316" spans="1:2">
      <c r="A1316" s="126"/>
      <c r="B1316" s="680"/>
    </row>
    <row r="1317" spans="1:2">
      <c r="A1317" s="126"/>
      <c r="B1317" s="680"/>
    </row>
    <row r="1318" spans="1:2">
      <c r="A1318" s="126"/>
      <c r="B1318" s="680"/>
    </row>
    <row r="1319" spans="1:2">
      <c r="A1319" s="126"/>
      <c r="B1319" s="680"/>
    </row>
    <row r="1320" spans="1:2">
      <c r="A1320" s="126"/>
      <c r="B1320" s="680"/>
    </row>
    <row r="1321" spans="1:2">
      <c r="A1321" s="126"/>
      <c r="B1321" s="680"/>
    </row>
    <row r="1322" spans="1:2">
      <c r="A1322" s="126"/>
      <c r="B1322" s="680"/>
    </row>
    <row r="1323" spans="1:2">
      <c r="A1323" s="126"/>
      <c r="B1323" s="680"/>
    </row>
    <row r="1324" spans="1:2">
      <c r="A1324" s="126"/>
      <c r="B1324" s="680"/>
    </row>
    <row r="1325" spans="1:2">
      <c r="A1325" s="126"/>
      <c r="B1325" s="680"/>
    </row>
    <row r="1326" spans="1:2">
      <c r="A1326" s="126"/>
      <c r="B1326" s="680"/>
    </row>
    <row r="1327" spans="1:2">
      <c r="A1327" s="126"/>
      <c r="B1327" s="680"/>
    </row>
    <row r="1328" spans="1:2">
      <c r="A1328" s="126"/>
      <c r="B1328" s="680"/>
    </row>
    <row r="1329" spans="1:2">
      <c r="A1329" s="126"/>
      <c r="B1329" s="680"/>
    </row>
    <row r="1330" spans="1:2">
      <c r="A1330" s="126"/>
      <c r="B1330" s="680"/>
    </row>
    <row r="1331" spans="1:2">
      <c r="A1331" s="126"/>
      <c r="B1331" s="680"/>
    </row>
    <row r="1332" spans="1:2">
      <c r="A1332" s="126"/>
      <c r="B1332" s="680"/>
    </row>
    <row r="1333" spans="1:2">
      <c r="A1333" s="126"/>
      <c r="B1333" s="680"/>
    </row>
    <row r="1334" spans="1:2">
      <c r="A1334" s="126"/>
      <c r="B1334" s="680"/>
    </row>
    <row r="1335" spans="1:2">
      <c r="A1335" s="126"/>
      <c r="B1335" s="680"/>
    </row>
    <row r="1336" spans="1:2">
      <c r="A1336" s="126"/>
      <c r="B1336" s="680"/>
    </row>
    <row r="1337" spans="1:2">
      <c r="A1337" s="126"/>
      <c r="B1337" s="680"/>
    </row>
    <row r="1338" spans="1:2">
      <c r="A1338" s="126"/>
      <c r="B1338" s="680"/>
    </row>
    <row r="1339" spans="1:2">
      <c r="A1339" s="126"/>
      <c r="B1339" s="680"/>
    </row>
    <row r="1340" spans="1:2">
      <c r="A1340" s="126"/>
      <c r="B1340" s="680"/>
    </row>
    <row r="1341" spans="1:2">
      <c r="A1341" s="126"/>
      <c r="B1341" s="680"/>
    </row>
    <row r="1342" spans="1:2">
      <c r="A1342" s="126"/>
      <c r="B1342" s="680"/>
    </row>
    <row r="1343" spans="1:2">
      <c r="A1343" s="126"/>
      <c r="B1343" s="680"/>
    </row>
    <row r="1344" spans="1:2">
      <c r="A1344" s="126"/>
      <c r="B1344" s="680"/>
    </row>
    <row r="1345" spans="1:2">
      <c r="A1345" s="126"/>
      <c r="B1345" s="680"/>
    </row>
    <row r="1346" spans="1:2">
      <c r="A1346" s="126"/>
      <c r="B1346" s="680"/>
    </row>
    <row r="1347" spans="1:2">
      <c r="A1347" s="126"/>
      <c r="B1347" s="680"/>
    </row>
    <row r="1348" spans="1:2">
      <c r="A1348" s="126"/>
      <c r="B1348" s="680"/>
    </row>
    <row r="1349" spans="1:2">
      <c r="A1349" s="126"/>
      <c r="B1349" s="680"/>
    </row>
    <row r="1350" spans="1:2">
      <c r="A1350" s="126"/>
      <c r="B1350" s="680"/>
    </row>
    <row r="1351" spans="1:2">
      <c r="A1351" s="126"/>
      <c r="B1351" s="680"/>
    </row>
    <row r="1352" spans="1:2">
      <c r="A1352" s="126"/>
      <c r="B1352" s="680"/>
    </row>
    <row r="1353" spans="1:2">
      <c r="A1353" s="126"/>
      <c r="B1353" s="680"/>
    </row>
    <row r="1354" spans="1:2">
      <c r="A1354" s="126"/>
      <c r="B1354" s="680"/>
    </row>
    <row r="1355" spans="1:2">
      <c r="A1355" s="126"/>
      <c r="B1355" s="680"/>
    </row>
    <row r="1356" spans="1:2">
      <c r="A1356" s="126"/>
      <c r="B1356" s="680"/>
    </row>
    <row r="1357" spans="1:2">
      <c r="A1357" s="126"/>
      <c r="B1357" s="680"/>
    </row>
    <row r="1358" spans="1:2">
      <c r="A1358" s="126"/>
      <c r="B1358" s="680"/>
    </row>
    <row r="1359" spans="1:2">
      <c r="A1359" s="126"/>
      <c r="B1359" s="680"/>
    </row>
    <row r="1360" spans="1:2">
      <c r="A1360" s="126"/>
      <c r="B1360" s="680"/>
    </row>
    <row r="1361" spans="1:2">
      <c r="A1361" s="126"/>
      <c r="B1361" s="680"/>
    </row>
    <row r="1362" spans="1:2">
      <c r="A1362" s="126"/>
      <c r="B1362" s="680"/>
    </row>
    <row r="1363" spans="1:2">
      <c r="A1363" s="126"/>
      <c r="B1363" s="680"/>
    </row>
    <row r="1364" spans="1:2">
      <c r="A1364" s="126"/>
      <c r="B1364" s="680"/>
    </row>
    <row r="1365" spans="1:2">
      <c r="A1365" s="126"/>
      <c r="B1365" s="680"/>
    </row>
    <row r="1366" spans="1:2">
      <c r="A1366" s="126"/>
      <c r="B1366" s="680"/>
    </row>
    <row r="1367" spans="1:2">
      <c r="A1367" s="126"/>
      <c r="B1367" s="680"/>
    </row>
    <row r="1368" spans="1:2">
      <c r="A1368" s="126"/>
      <c r="B1368" s="680"/>
    </row>
    <row r="1369" spans="1:2">
      <c r="A1369" s="126"/>
      <c r="B1369" s="680"/>
    </row>
    <row r="1370" spans="1:2">
      <c r="A1370" s="126"/>
      <c r="B1370" s="680"/>
    </row>
    <row r="1371" spans="1:2">
      <c r="A1371" s="126"/>
      <c r="B1371" s="680"/>
    </row>
    <row r="1372" spans="1:2">
      <c r="A1372" s="126"/>
      <c r="B1372" s="680"/>
    </row>
    <row r="1373" spans="1:2">
      <c r="A1373" s="126"/>
      <c r="B1373" s="680"/>
    </row>
    <row r="1374" spans="1:2">
      <c r="A1374" s="126"/>
      <c r="B1374" s="680"/>
    </row>
    <row r="1375" spans="1:2">
      <c r="A1375" s="126"/>
      <c r="B1375" s="680"/>
    </row>
    <row r="1376" spans="1:2">
      <c r="A1376" s="126"/>
      <c r="B1376" s="680"/>
    </row>
    <row r="1377" spans="1:2">
      <c r="A1377" s="126"/>
      <c r="B1377" s="680"/>
    </row>
    <row r="1378" spans="1:2">
      <c r="A1378" s="126"/>
      <c r="B1378" s="680"/>
    </row>
    <row r="1379" spans="1:2">
      <c r="A1379" s="126"/>
      <c r="B1379" s="680"/>
    </row>
    <row r="1380" spans="1:2">
      <c r="A1380" s="126"/>
      <c r="B1380" s="680"/>
    </row>
    <row r="1381" spans="1:2">
      <c r="A1381" s="126"/>
      <c r="B1381" s="680"/>
    </row>
    <row r="1382" spans="1:2">
      <c r="A1382" s="126"/>
      <c r="B1382" s="680"/>
    </row>
    <row r="1383" spans="1:2">
      <c r="A1383" s="126"/>
      <c r="B1383" s="680"/>
    </row>
    <row r="1384" spans="1:2">
      <c r="A1384" s="126"/>
      <c r="B1384" s="680"/>
    </row>
    <row r="1385" spans="1:2">
      <c r="A1385" s="126"/>
      <c r="B1385" s="680"/>
    </row>
    <row r="1386" spans="1:2">
      <c r="A1386" s="126"/>
      <c r="B1386" s="680"/>
    </row>
    <row r="1387" spans="1:2">
      <c r="A1387" s="126"/>
      <c r="B1387" s="680"/>
    </row>
    <row r="1388" spans="1:2">
      <c r="A1388" s="126"/>
      <c r="B1388" s="680"/>
    </row>
    <row r="1389" spans="1:2">
      <c r="A1389" s="126"/>
      <c r="B1389" s="680"/>
    </row>
    <row r="1390" spans="1:2">
      <c r="A1390" s="126"/>
      <c r="B1390" s="680"/>
    </row>
    <row r="1391" spans="1:2">
      <c r="A1391" s="126"/>
      <c r="B1391" s="680"/>
    </row>
    <row r="1392" spans="1:2">
      <c r="A1392" s="126"/>
      <c r="B1392" s="680"/>
    </row>
    <row r="1393" spans="1:2">
      <c r="A1393" s="126"/>
      <c r="B1393" s="680"/>
    </row>
    <row r="1394" spans="1:2">
      <c r="A1394" s="126"/>
      <c r="B1394" s="680"/>
    </row>
    <row r="1395" spans="1:2">
      <c r="A1395" s="126"/>
      <c r="B1395" s="680"/>
    </row>
    <row r="1396" spans="1:2">
      <c r="A1396" s="126"/>
      <c r="B1396" s="680"/>
    </row>
    <row r="1397" spans="1:2">
      <c r="A1397" s="126"/>
      <c r="B1397" s="680"/>
    </row>
    <row r="1398" spans="1:2">
      <c r="A1398" s="126"/>
      <c r="B1398" s="680"/>
    </row>
    <row r="1399" spans="1:2">
      <c r="A1399" s="126"/>
      <c r="B1399" s="680"/>
    </row>
    <row r="1400" spans="1:2">
      <c r="A1400" s="126"/>
      <c r="B1400" s="680"/>
    </row>
    <row r="1401" spans="1:2">
      <c r="A1401" s="126"/>
      <c r="B1401" s="680"/>
    </row>
    <row r="1402" spans="1:2">
      <c r="A1402" s="126"/>
      <c r="B1402" s="680"/>
    </row>
    <row r="1403" spans="1:2">
      <c r="A1403" s="126"/>
      <c r="B1403" s="680"/>
    </row>
    <row r="1404" spans="1:2">
      <c r="A1404" s="126"/>
      <c r="B1404" s="680"/>
    </row>
    <row r="1405" spans="1:2">
      <c r="A1405" s="126"/>
      <c r="B1405" s="680"/>
    </row>
    <row r="1406" spans="1:2">
      <c r="A1406" s="126"/>
      <c r="B1406" s="680"/>
    </row>
    <row r="1407" spans="1:2">
      <c r="A1407" s="126"/>
      <c r="B1407" s="680"/>
    </row>
    <row r="1408" spans="1:2">
      <c r="A1408" s="126"/>
      <c r="B1408" s="680"/>
    </row>
    <row r="1409" spans="1:2">
      <c r="A1409" s="126"/>
      <c r="B1409" s="680"/>
    </row>
    <row r="1410" spans="1:2">
      <c r="A1410" s="126"/>
      <c r="B1410" s="680"/>
    </row>
    <row r="1411" spans="1:2">
      <c r="A1411" s="126"/>
      <c r="B1411" s="680"/>
    </row>
    <row r="1412" spans="1:2">
      <c r="A1412" s="126"/>
      <c r="B1412" s="680"/>
    </row>
    <row r="1413" spans="1:2">
      <c r="A1413" s="126"/>
      <c r="B1413" s="680"/>
    </row>
    <row r="1414" spans="1:2">
      <c r="A1414" s="126"/>
      <c r="B1414" s="680"/>
    </row>
    <row r="1415" spans="1:2">
      <c r="A1415" s="126"/>
      <c r="B1415" s="680"/>
    </row>
    <row r="1416" spans="1:2">
      <c r="A1416" s="126"/>
      <c r="B1416" s="680"/>
    </row>
    <row r="1417" spans="1:2">
      <c r="A1417" s="126"/>
      <c r="B1417" s="680"/>
    </row>
    <row r="1418" spans="1:2">
      <c r="A1418" s="126"/>
      <c r="B1418" s="680"/>
    </row>
    <row r="1419" spans="1:2">
      <c r="A1419" s="126"/>
      <c r="B1419" s="680"/>
    </row>
    <row r="1420" spans="1:2">
      <c r="A1420" s="126"/>
      <c r="B1420" s="680"/>
    </row>
    <row r="1421" spans="1:2">
      <c r="A1421" s="126"/>
      <c r="B1421" s="680"/>
    </row>
    <row r="1422" spans="1:2">
      <c r="A1422" s="126"/>
      <c r="B1422" s="680"/>
    </row>
    <row r="1423" spans="1:2">
      <c r="A1423" s="126"/>
      <c r="B1423" s="680"/>
    </row>
    <row r="1424" spans="1:2">
      <c r="A1424" s="126"/>
      <c r="B1424" s="680"/>
    </row>
    <row r="1425" spans="1:2">
      <c r="A1425" s="126"/>
      <c r="B1425" s="680"/>
    </row>
    <row r="1426" spans="1:2">
      <c r="A1426" s="126"/>
      <c r="B1426" s="680"/>
    </row>
    <row r="1427" spans="1:2">
      <c r="A1427" s="126"/>
      <c r="B1427" s="680"/>
    </row>
    <row r="1428" spans="1:2">
      <c r="A1428" s="126"/>
      <c r="B1428" s="680"/>
    </row>
    <row r="1429" spans="1:2">
      <c r="A1429" s="126"/>
      <c r="B1429" s="680"/>
    </row>
    <row r="1430" spans="1:2">
      <c r="A1430" s="126"/>
      <c r="B1430" s="680"/>
    </row>
    <row r="1431" spans="1:2">
      <c r="A1431" s="126"/>
      <c r="B1431" s="680"/>
    </row>
    <row r="1432" spans="1:2">
      <c r="A1432" s="126"/>
      <c r="B1432" s="680"/>
    </row>
    <row r="1433" spans="1:2">
      <c r="A1433" s="126"/>
      <c r="B1433" s="680"/>
    </row>
    <row r="1434" spans="1:2">
      <c r="A1434" s="126"/>
      <c r="B1434" s="680"/>
    </row>
    <row r="1435" spans="1:2">
      <c r="A1435" s="126"/>
      <c r="B1435" s="680"/>
    </row>
    <row r="1436" spans="1:2">
      <c r="A1436" s="126"/>
      <c r="B1436" s="680"/>
    </row>
    <row r="1437" spans="1:2">
      <c r="A1437" s="126"/>
      <c r="B1437" s="680"/>
    </row>
    <row r="1438" spans="1:2">
      <c r="A1438" s="126"/>
      <c r="B1438" s="680"/>
    </row>
    <row r="1439" spans="1:2">
      <c r="A1439" s="126"/>
      <c r="B1439" s="680"/>
    </row>
    <row r="1440" spans="1:2">
      <c r="A1440" s="126"/>
      <c r="B1440" s="680"/>
    </row>
    <row r="1441" spans="1:2">
      <c r="A1441" s="126"/>
      <c r="B1441" s="680"/>
    </row>
    <row r="1442" spans="1:2">
      <c r="A1442" s="126"/>
      <c r="B1442" s="680"/>
    </row>
    <row r="1443" spans="1:2">
      <c r="A1443" s="126"/>
      <c r="B1443" s="680"/>
    </row>
    <row r="1444" spans="1:2">
      <c r="A1444" s="126"/>
      <c r="B1444" s="680"/>
    </row>
    <row r="1445" spans="1:2">
      <c r="A1445" s="126"/>
      <c r="B1445" s="680"/>
    </row>
    <row r="1446" spans="1:2">
      <c r="A1446" s="126"/>
      <c r="B1446" s="680"/>
    </row>
    <row r="1447" spans="1:2">
      <c r="A1447" s="126"/>
      <c r="B1447" s="680"/>
    </row>
    <row r="1448" spans="1:2">
      <c r="A1448" s="126"/>
      <c r="B1448" s="680"/>
    </row>
    <row r="1449" spans="1:2">
      <c r="A1449" s="126"/>
      <c r="B1449" s="680"/>
    </row>
    <row r="1450" spans="1:2">
      <c r="A1450" s="126"/>
      <c r="B1450" s="680"/>
    </row>
    <row r="1451" spans="1:2">
      <c r="A1451" s="126"/>
      <c r="B1451" s="680"/>
    </row>
    <row r="1452" spans="1:2">
      <c r="A1452" s="126"/>
      <c r="B1452" s="680"/>
    </row>
    <row r="1453" spans="1:2">
      <c r="A1453" s="126"/>
      <c r="B1453" s="680"/>
    </row>
    <row r="1454" spans="1:2">
      <c r="A1454" s="126"/>
      <c r="B1454" s="680"/>
    </row>
    <row r="1455" spans="1:2">
      <c r="A1455" s="126"/>
      <c r="B1455" s="680"/>
    </row>
    <row r="1456" spans="1:2">
      <c r="A1456" s="126"/>
      <c r="B1456" s="680"/>
    </row>
    <row r="1457" spans="1:2">
      <c r="A1457" s="126"/>
      <c r="B1457" s="680"/>
    </row>
    <row r="1458" spans="1:2">
      <c r="A1458" s="126"/>
      <c r="B1458" s="680"/>
    </row>
    <row r="1459" spans="1:2">
      <c r="A1459" s="126"/>
      <c r="B1459" s="680"/>
    </row>
    <row r="1460" spans="1:2">
      <c r="A1460" s="126"/>
      <c r="B1460" s="680"/>
    </row>
    <row r="1461" spans="1:2">
      <c r="A1461" s="126"/>
      <c r="B1461" s="680"/>
    </row>
    <row r="1462" spans="1:2">
      <c r="A1462" s="126"/>
      <c r="B1462" s="680"/>
    </row>
    <row r="1463" spans="1:2">
      <c r="A1463" s="126"/>
      <c r="B1463" s="680"/>
    </row>
    <row r="1464" spans="1:2">
      <c r="A1464" s="126"/>
      <c r="B1464" s="680"/>
    </row>
    <row r="1465" spans="1:2">
      <c r="A1465" s="126"/>
      <c r="B1465" s="680"/>
    </row>
    <row r="1466" spans="1:2">
      <c r="A1466" s="126"/>
      <c r="B1466" s="680"/>
    </row>
    <row r="1467" spans="1:2">
      <c r="A1467" s="126"/>
      <c r="B1467" s="680"/>
    </row>
    <row r="1468" spans="1:2">
      <c r="A1468" s="126"/>
      <c r="B1468" s="680"/>
    </row>
    <row r="1469" spans="1:2">
      <c r="A1469" s="126"/>
      <c r="B1469" s="680"/>
    </row>
    <row r="1470" spans="1:2">
      <c r="A1470" s="126"/>
      <c r="B1470" s="680"/>
    </row>
    <row r="1471" spans="1:2">
      <c r="A1471" s="126"/>
      <c r="B1471" s="680"/>
    </row>
    <row r="1472" spans="1:2">
      <c r="A1472" s="126"/>
      <c r="B1472" s="680"/>
    </row>
    <row r="1473" spans="1:2">
      <c r="A1473" s="126"/>
      <c r="B1473" s="680"/>
    </row>
    <row r="1474" spans="1:2">
      <c r="A1474" s="126"/>
      <c r="B1474" s="680"/>
    </row>
    <row r="1475" spans="1:2">
      <c r="A1475" s="126"/>
      <c r="B1475" s="680"/>
    </row>
    <row r="1476" spans="1:2">
      <c r="A1476" s="126"/>
      <c r="B1476" s="680"/>
    </row>
    <row r="1477" spans="1:2">
      <c r="A1477" s="126"/>
      <c r="B1477" s="680"/>
    </row>
    <row r="1478" spans="1:2">
      <c r="A1478" s="126"/>
      <c r="B1478" s="680"/>
    </row>
    <row r="1479" spans="1:2">
      <c r="A1479" s="126"/>
      <c r="B1479" s="680"/>
    </row>
    <row r="1480" spans="1:2">
      <c r="A1480" s="126"/>
      <c r="B1480" s="680"/>
    </row>
    <row r="1481" spans="1:2">
      <c r="A1481" s="126"/>
      <c r="B1481" s="680"/>
    </row>
    <row r="1482" spans="1:2">
      <c r="A1482" s="126"/>
      <c r="B1482" s="680"/>
    </row>
    <row r="1483" spans="1:2">
      <c r="A1483" s="126"/>
      <c r="B1483" s="680"/>
    </row>
    <row r="1484" spans="1:2">
      <c r="A1484" s="126"/>
      <c r="B1484" s="680"/>
    </row>
    <row r="1485" spans="1:2">
      <c r="A1485" s="126"/>
      <c r="B1485" s="680"/>
    </row>
    <row r="1486" spans="1:2">
      <c r="A1486" s="126"/>
      <c r="B1486" s="680"/>
    </row>
    <row r="1487" spans="1:2">
      <c r="A1487" s="126"/>
      <c r="B1487" s="680"/>
    </row>
    <row r="1488" spans="1:2">
      <c r="A1488" s="126"/>
      <c r="B1488" s="680"/>
    </row>
    <row r="1489" spans="1:2">
      <c r="A1489" s="126"/>
      <c r="B1489" s="680"/>
    </row>
    <row r="1490" spans="1:2">
      <c r="A1490" s="126"/>
      <c r="B1490" s="680"/>
    </row>
    <row r="1491" spans="1:2">
      <c r="A1491" s="126"/>
      <c r="B1491" s="680"/>
    </row>
    <row r="1492" spans="1:2">
      <c r="A1492" s="126"/>
      <c r="B1492" s="680"/>
    </row>
    <row r="1493" spans="1:2">
      <c r="A1493" s="126"/>
      <c r="B1493" s="680"/>
    </row>
    <row r="1494" spans="1:2">
      <c r="A1494" s="126"/>
      <c r="B1494" s="680"/>
    </row>
    <row r="1495" spans="1:2">
      <c r="A1495" s="126"/>
      <c r="B1495" s="680"/>
    </row>
    <row r="1496" spans="1:2">
      <c r="A1496" s="126"/>
      <c r="B1496" s="680"/>
    </row>
    <row r="1497" spans="1:2">
      <c r="A1497" s="126"/>
      <c r="B1497" s="680"/>
    </row>
    <row r="1498" spans="1:2">
      <c r="A1498" s="126"/>
      <c r="B1498" s="680"/>
    </row>
    <row r="1499" spans="1:2">
      <c r="A1499" s="126"/>
      <c r="B1499" s="680"/>
    </row>
    <row r="1500" spans="1:2">
      <c r="A1500" s="126"/>
      <c r="B1500" s="680"/>
    </row>
    <row r="1501" spans="1:2">
      <c r="A1501" s="126"/>
      <c r="B1501" s="680"/>
    </row>
    <row r="1502" spans="1:2">
      <c r="A1502" s="126"/>
      <c r="B1502" s="680"/>
    </row>
    <row r="1503" spans="1:2">
      <c r="A1503" s="126"/>
      <c r="B1503" s="680"/>
    </row>
    <row r="1504" spans="1:2">
      <c r="A1504" s="126"/>
      <c r="B1504" s="680"/>
    </row>
    <row r="1505" spans="1:2">
      <c r="A1505" s="126"/>
      <c r="B1505" s="680"/>
    </row>
    <row r="1506" spans="1:2">
      <c r="A1506" s="126"/>
      <c r="B1506" s="680"/>
    </row>
    <row r="1507" spans="1:2">
      <c r="A1507" s="126"/>
      <c r="B1507" s="680"/>
    </row>
    <row r="1508" spans="1:2">
      <c r="A1508" s="126"/>
      <c r="B1508" s="680"/>
    </row>
    <row r="1509" spans="1:2">
      <c r="A1509" s="126"/>
      <c r="B1509" s="680"/>
    </row>
    <row r="1510" spans="1:2">
      <c r="A1510" s="126"/>
      <c r="B1510" s="680"/>
    </row>
    <row r="1511" spans="1:2">
      <c r="A1511" s="126"/>
      <c r="B1511" s="680"/>
    </row>
    <row r="1512" spans="1:2">
      <c r="A1512" s="126"/>
      <c r="B1512" s="680"/>
    </row>
    <row r="1513" spans="1:2">
      <c r="A1513" s="126"/>
      <c r="B1513" s="680"/>
    </row>
    <row r="1514" spans="1:2">
      <c r="A1514" s="126"/>
      <c r="B1514" s="680"/>
    </row>
    <row r="1515" spans="1:2">
      <c r="A1515" s="126"/>
      <c r="B1515" s="680"/>
    </row>
    <row r="1516" spans="1:2">
      <c r="A1516" s="126"/>
      <c r="B1516" s="680"/>
    </row>
    <row r="1517" spans="1:2">
      <c r="A1517" s="126"/>
      <c r="B1517" s="680"/>
    </row>
    <row r="1518" spans="1:2">
      <c r="A1518" s="126"/>
      <c r="B1518" s="680"/>
    </row>
    <row r="1519" spans="1:2">
      <c r="A1519" s="126"/>
      <c r="B1519" s="680"/>
    </row>
    <row r="1520" spans="1:2">
      <c r="A1520" s="126"/>
      <c r="B1520" s="680"/>
    </row>
    <row r="1521" spans="1:2">
      <c r="A1521" s="126"/>
      <c r="B1521" s="680"/>
    </row>
    <row r="1522" spans="1:2">
      <c r="A1522" s="126"/>
      <c r="B1522" s="680"/>
    </row>
    <row r="1523" spans="1:2">
      <c r="A1523" s="126"/>
      <c r="B1523" s="680"/>
    </row>
    <row r="1524" spans="1:2">
      <c r="A1524" s="126"/>
      <c r="B1524" s="680"/>
    </row>
    <row r="1525" spans="1:2">
      <c r="A1525" s="126"/>
      <c r="B1525" s="680"/>
    </row>
    <row r="1526" spans="1:2">
      <c r="A1526" s="126"/>
      <c r="B1526" s="680"/>
    </row>
    <row r="1527" spans="1:2">
      <c r="A1527" s="126"/>
      <c r="B1527" s="680"/>
    </row>
    <row r="1528" spans="1:2">
      <c r="A1528" s="126"/>
      <c r="B1528" s="680"/>
    </row>
    <row r="1529" spans="1:2">
      <c r="A1529" s="126"/>
      <c r="B1529" s="680"/>
    </row>
    <row r="1530" spans="1:2">
      <c r="A1530" s="126"/>
      <c r="B1530" s="680"/>
    </row>
    <row r="1531" spans="1:2">
      <c r="A1531" s="126"/>
      <c r="B1531" s="680"/>
    </row>
    <row r="1532" spans="1:2">
      <c r="A1532" s="126"/>
      <c r="B1532" s="680"/>
    </row>
    <row r="1533" spans="1:2">
      <c r="A1533" s="126"/>
      <c r="B1533" s="680"/>
    </row>
    <row r="1534" spans="1:2">
      <c r="A1534" s="126"/>
      <c r="B1534" s="680"/>
    </row>
    <row r="1535" spans="1:2">
      <c r="A1535" s="126"/>
      <c r="B1535" s="680"/>
    </row>
    <row r="1536" spans="1:2">
      <c r="A1536" s="126"/>
      <c r="B1536" s="680"/>
    </row>
    <row r="1537" spans="1:2">
      <c r="A1537" s="126"/>
      <c r="B1537" s="680"/>
    </row>
    <row r="1538" spans="1:2">
      <c r="A1538" s="126"/>
      <c r="B1538" s="680"/>
    </row>
    <row r="1539" spans="1:2">
      <c r="A1539" s="126"/>
      <c r="B1539" s="680"/>
    </row>
    <row r="1540" spans="1:2">
      <c r="A1540" s="126"/>
      <c r="B1540" s="680"/>
    </row>
    <row r="1541" spans="1:2">
      <c r="A1541" s="126"/>
      <c r="B1541" s="680"/>
    </row>
    <row r="1542" spans="1:2">
      <c r="A1542" s="126"/>
      <c r="B1542" s="680"/>
    </row>
    <row r="1543" spans="1:2">
      <c r="A1543" s="126"/>
      <c r="B1543" s="680"/>
    </row>
    <row r="1544" spans="1:2">
      <c r="A1544" s="126"/>
      <c r="B1544" s="680"/>
    </row>
    <row r="1545" spans="1:2">
      <c r="A1545" s="126"/>
      <c r="B1545" s="680"/>
    </row>
    <row r="1546" spans="1:2">
      <c r="A1546" s="126"/>
      <c r="B1546" s="680"/>
    </row>
    <row r="1547" spans="1:2">
      <c r="A1547" s="126"/>
      <c r="B1547" s="680"/>
    </row>
    <row r="1548" spans="1:2">
      <c r="A1548" s="126"/>
      <c r="B1548" s="680"/>
    </row>
    <row r="1549" spans="1:2">
      <c r="A1549" s="126"/>
      <c r="B1549" s="680"/>
    </row>
    <row r="1550" spans="1:2">
      <c r="A1550" s="126"/>
      <c r="B1550" s="680"/>
    </row>
    <row r="1551" spans="1:2">
      <c r="A1551" s="126"/>
      <c r="B1551" s="680"/>
    </row>
    <row r="1552" spans="1:2">
      <c r="A1552" s="126"/>
      <c r="B1552" s="680"/>
    </row>
    <row r="1553" spans="1:2">
      <c r="A1553" s="126"/>
      <c r="B1553" s="680"/>
    </row>
    <row r="1554" spans="1:2">
      <c r="A1554" s="126"/>
      <c r="B1554" s="680"/>
    </row>
    <row r="1555" spans="1:2">
      <c r="A1555" s="126"/>
      <c r="B1555" s="680"/>
    </row>
    <row r="1556" spans="1:2">
      <c r="A1556" s="126"/>
      <c r="B1556" s="680"/>
    </row>
    <row r="1557" spans="1:2">
      <c r="A1557" s="126"/>
      <c r="B1557" s="680"/>
    </row>
    <row r="1558" spans="1:2">
      <c r="A1558" s="126"/>
      <c r="B1558" s="680"/>
    </row>
    <row r="1559" spans="1:2">
      <c r="A1559" s="126"/>
      <c r="B1559" s="680"/>
    </row>
    <row r="1560" spans="1:2">
      <c r="A1560" s="126"/>
      <c r="B1560" s="680"/>
    </row>
    <row r="1561" spans="1:2">
      <c r="A1561" s="126"/>
      <c r="B1561" s="680"/>
    </row>
    <row r="1562" spans="1:2">
      <c r="A1562" s="126"/>
      <c r="B1562" s="680"/>
    </row>
    <row r="1563" spans="1:2">
      <c r="A1563" s="126"/>
      <c r="B1563" s="680"/>
    </row>
    <row r="1564" spans="1:2">
      <c r="A1564" s="126"/>
      <c r="B1564" s="680"/>
    </row>
    <row r="1565" spans="1:2">
      <c r="A1565" s="126"/>
      <c r="B1565" s="680"/>
    </row>
    <row r="1566" spans="1:2">
      <c r="A1566" s="126"/>
      <c r="B1566" s="680"/>
    </row>
    <row r="1567" spans="1:2">
      <c r="A1567" s="126"/>
      <c r="B1567" s="680"/>
    </row>
    <row r="1568" spans="1:2">
      <c r="A1568" s="126"/>
      <c r="B1568" s="680"/>
    </row>
    <row r="1569" spans="1:2">
      <c r="A1569" s="126"/>
      <c r="B1569" s="680"/>
    </row>
    <row r="1570" spans="1:2">
      <c r="A1570" s="126"/>
      <c r="B1570" s="680"/>
    </row>
    <row r="1571" spans="1:2">
      <c r="A1571" s="126"/>
      <c r="B1571" s="680"/>
    </row>
    <row r="1572" spans="1:2">
      <c r="A1572" s="126"/>
      <c r="B1572" s="680"/>
    </row>
    <row r="1573" spans="1:2">
      <c r="A1573" s="126"/>
      <c r="B1573" s="680"/>
    </row>
    <row r="1574" spans="1:2">
      <c r="A1574" s="126"/>
      <c r="B1574" s="680"/>
    </row>
    <row r="1575" spans="1:2">
      <c r="A1575" s="126"/>
      <c r="B1575" s="680"/>
    </row>
    <row r="1576" spans="1:2">
      <c r="A1576" s="126"/>
      <c r="B1576" s="680"/>
    </row>
    <row r="1577" spans="1:2">
      <c r="A1577" s="126"/>
      <c r="B1577" s="680"/>
    </row>
    <row r="1578" spans="1:2">
      <c r="A1578" s="126"/>
      <c r="B1578" s="680"/>
    </row>
    <row r="1579" spans="1:2">
      <c r="A1579" s="126"/>
      <c r="B1579" s="680"/>
    </row>
    <row r="1580" spans="1:2">
      <c r="A1580" s="126"/>
      <c r="B1580" s="680"/>
    </row>
    <row r="1581" spans="1:2">
      <c r="A1581" s="126"/>
      <c r="B1581" s="680"/>
    </row>
    <row r="1582" spans="1:2">
      <c r="A1582" s="126"/>
      <c r="B1582" s="680"/>
    </row>
    <row r="1583" spans="1:2">
      <c r="A1583" s="126"/>
      <c r="B1583" s="680"/>
    </row>
    <row r="1584" spans="1:2">
      <c r="A1584" s="126"/>
      <c r="B1584" s="680"/>
    </row>
    <row r="1585" spans="1:2">
      <c r="A1585" s="126"/>
      <c r="B1585" s="680"/>
    </row>
    <row r="1586" spans="1:2">
      <c r="A1586" s="126"/>
      <c r="B1586" s="680"/>
    </row>
    <row r="1587" spans="1:2">
      <c r="A1587" s="126"/>
      <c r="B1587" s="680"/>
    </row>
    <row r="1588" spans="1:2">
      <c r="A1588" s="126"/>
      <c r="B1588" s="680"/>
    </row>
    <row r="1589" spans="1:2">
      <c r="A1589" s="126"/>
      <c r="B1589" s="680"/>
    </row>
    <row r="1590" spans="1:2">
      <c r="A1590" s="126"/>
      <c r="B1590" s="680"/>
    </row>
    <row r="1591" spans="1:2">
      <c r="A1591" s="126"/>
      <c r="B1591" s="680"/>
    </row>
    <row r="1592" spans="1:2">
      <c r="A1592" s="126"/>
      <c r="B1592" s="680"/>
    </row>
    <row r="1593" spans="1:2">
      <c r="A1593" s="126"/>
      <c r="B1593" s="680"/>
    </row>
    <row r="1594" spans="1:2">
      <c r="A1594" s="126"/>
      <c r="B1594" s="680"/>
    </row>
    <row r="1595" spans="1:2">
      <c r="A1595" s="126"/>
      <c r="B1595" s="680"/>
    </row>
    <row r="1596" spans="1:2">
      <c r="A1596" s="126"/>
      <c r="B1596" s="680"/>
    </row>
    <row r="1597" spans="1:2">
      <c r="A1597" s="126"/>
      <c r="B1597" s="680"/>
    </row>
    <row r="1598" spans="1:2">
      <c r="A1598" s="126"/>
      <c r="B1598" s="680"/>
    </row>
    <row r="1599" spans="1:2">
      <c r="A1599" s="126"/>
      <c r="B1599" s="680"/>
    </row>
    <row r="1600" spans="1:2">
      <c r="A1600" s="126"/>
      <c r="B1600" s="680"/>
    </row>
    <row r="1601" spans="1:2">
      <c r="A1601" s="126"/>
      <c r="B1601" s="680"/>
    </row>
    <row r="1602" spans="1:2">
      <c r="A1602" s="126"/>
      <c r="B1602" s="680"/>
    </row>
    <row r="1603" spans="1:2">
      <c r="A1603" s="126"/>
      <c r="B1603" s="680"/>
    </row>
    <row r="1604" spans="1:2">
      <c r="A1604" s="126"/>
      <c r="B1604" s="680"/>
    </row>
    <row r="1605" spans="1:2">
      <c r="A1605" s="126"/>
      <c r="B1605" s="680"/>
    </row>
    <row r="1606" spans="1:2">
      <c r="A1606" s="126"/>
      <c r="B1606" s="680"/>
    </row>
    <row r="1607" spans="1:2">
      <c r="A1607" s="126"/>
      <c r="B1607" s="680"/>
    </row>
    <row r="1608" spans="1:2">
      <c r="A1608" s="126"/>
      <c r="B1608" s="680"/>
    </row>
    <row r="1609" spans="1:2">
      <c r="A1609" s="126"/>
      <c r="B1609" s="680"/>
    </row>
    <row r="1610" spans="1:2">
      <c r="A1610" s="126"/>
      <c r="B1610" s="680"/>
    </row>
    <row r="1611" spans="1:2">
      <c r="A1611" s="126"/>
      <c r="B1611" s="680"/>
    </row>
    <row r="1612" spans="1:2">
      <c r="A1612" s="126"/>
      <c r="B1612" s="680"/>
    </row>
    <row r="1613" spans="1:2">
      <c r="A1613" s="126"/>
      <c r="B1613" s="680"/>
    </row>
    <row r="1614" spans="1:2">
      <c r="A1614" s="126"/>
      <c r="B1614" s="680"/>
    </row>
    <row r="1615" spans="1:2">
      <c r="A1615" s="126"/>
      <c r="B1615" s="680"/>
    </row>
    <row r="1616" spans="1:2">
      <c r="A1616" s="126"/>
      <c r="B1616" s="680"/>
    </row>
    <row r="1617" spans="1:2">
      <c r="A1617" s="126"/>
      <c r="B1617" s="680"/>
    </row>
    <row r="1618" spans="1:2">
      <c r="A1618" s="126"/>
      <c r="B1618" s="680"/>
    </row>
    <row r="1619" spans="1:2">
      <c r="A1619" s="126"/>
      <c r="B1619" s="680"/>
    </row>
    <row r="1620" spans="1:2">
      <c r="A1620" s="126"/>
      <c r="B1620" s="680"/>
    </row>
    <row r="1621" spans="1:2">
      <c r="A1621" s="126"/>
      <c r="B1621" s="680"/>
    </row>
    <row r="1622" spans="1:2">
      <c r="A1622" s="126"/>
      <c r="B1622" s="680"/>
    </row>
    <row r="1623" spans="1:2">
      <c r="A1623" s="126"/>
      <c r="B1623" s="680"/>
    </row>
    <row r="1624" spans="1:2">
      <c r="A1624" s="126"/>
      <c r="B1624" s="680"/>
    </row>
    <row r="1625" spans="1:2">
      <c r="A1625" s="126"/>
      <c r="B1625" s="680"/>
    </row>
    <row r="1626" spans="1:2">
      <c r="A1626" s="126"/>
      <c r="B1626" s="680"/>
    </row>
    <row r="1627" spans="1:2">
      <c r="A1627" s="126"/>
      <c r="B1627" s="680"/>
    </row>
    <row r="1628" spans="1:2">
      <c r="A1628" s="126"/>
      <c r="B1628" s="680"/>
    </row>
    <row r="1629" spans="1:2">
      <c r="A1629" s="126"/>
      <c r="B1629" s="680"/>
    </row>
    <row r="1630" spans="1:2">
      <c r="A1630" s="126"/>
      <c r="B1630" s="680"/>
    </row>
    <row r="1631" spans="1:2">
      <c r="A1631" s="126"/>
      <c r="B1631" s="680"/>
    </row>
    <row r="1632" spans="1:2">
      <c r="A1632" s="126"/>
      <c r="B1632" s="680"/>
    </row>
    <row r="1633" spans="1:2">
      <c r="A1633" s="126"/>
      <c r="B1633" s="680"/>
    </row>
    <row r="1634" spans="1:2">
      <c r="A1634" s="126"/>
      <c r="B1634" s="680"/>
    </row>
    <row r="1635" spans="1:2">
      <c r="A1635" s="126"/>
      <c r="B1635" s="680"/>
    </row>
    <row r="1636" spans="1:2">
      <c r="A1636" s="126"/>
      <c r="B1636" s="680"/>
    </row>
    <row r="1637" spans="1:2">
      <c r="A1637" s="126"/>
      <c r="B1637" s="680"/>
    </row>
    <row r="1638" spans="1:2">
      <c r="A1638" s="126"/>
      <c r="B1638" s="680"/>
    </row>
    <row r="1639" spans="1:2">
      <c r="A1639" s="126"/>
      <c r="B1639" s="680"/>
    </row>
    <row r="1640" spans="1:2">
      <c r="A1640" s="126"/>
      <c r="B1640" s="680"/>
    </row>
    <row r="1641" spans="1:2">
      <c r="A1641" s="126"/>
      <c r="B1641" s="680"/>
    </row>
    <row r="1642" spans="1:2">
      <c r="A1642" s="126"/>
      <c r="B1642" s="680"/>
    </row>
    <row r="1643" spans="1:2">
      <c r="A1643" s="126"/>
      <c r="B1643" s="680"/>
    </row>
    <row r="1644" spans="1:2">
      <c r="A1644" s="126"/>
      <c r="B1644" s="680"/>
    </row>
    <row r="1645" spans="1:2">
      <c r="A1645" s="126"/>
      <c r="B1645" s="680"/>
    </row>
    <row r="1646" spans="1:2">
      <c r="A1646" s="126"/>
      <c r="B1646" s="680"/>
    </row>
    <row r="1647" spans="1:2">
      <c r="A1647" s="126"/>
      <c r="B1647" s="680"/>
    </row>
    <row r="1648" spans="1:2">
      <c r="A1648" s="126"/>
      <c r="B1648" s="680"/>
    </row>
    <row r="1649" spans="1:2">
      <c r="A1649" s="126"/>
      <c r="B1649" s="680"/>
    </row>
    <row r="1650" spans="1:2">
      <c r="A1650" s="126"/>
      <c r="B1650" s="680"/>
    </row>
    <row r="1651" spans="1:2">
      <c r="A1651" s="126"/>
      <c r="B1651" s="680"/>
    </row>
    <row r="1652" spans="1:2">
      <c r="A1652" s="126"/>
      <c r="B1652" s="680"/>
    </row>
    <row r="1653" spans="1:2">
      <c r="A1653" s="126"/>
      <c r="B1653" s="680"/>
    </row>
    <row r="1654" spans="1:2">
      <c r="A1654" s="126"/>
      <c r="B1654" s="680"/>
    </row>
    <row r="1655" spans="1:2">
      <c r="A1655" s="126"/>
      <c r="B1655" s="680"/>
    </row>
    <row r="1656" spans="1:2">
      <c r="A1656" s="126"/>
      <c r="B1656" s="680"/>
    </row>
    <row r="1657" spans="1:2">
      <c r="A1657" s="126"/>
      <c r="B1657" s="680"/>
    </row>
    <row r="1658" spans="1:2">
      <c r="A1658" s="126"/>
      <c r="B1658" s="680"/>
    </row>
    <row r="1659" spans="1:2">
      <c r="A1659" s="126"/>
      <c r="B1659" s="680"/>
    </row>
    <row r="1660" spans="1:2">
      <c r="A1660" s="126"/>
      <c r="B1660" s="680"/>
    </row>
    <row r="1661" spans="1:2">
      <c r="A1661" s="126"/>
      <c r="B1661" s="680"/>
    </row>
    <row r="1662" spans="1:2">
      <c r="A1662" s="126"/>
      <c r="B1662" s="680"/>
    </row>
    <row r="1663" spans="1:2">
      <c r="A1663" s="126"/>
      <c r="B1663" s="680"/>
    </row>
    <row r="1664" spans="1:2">
      <c r="A1664" s="126"/>
      <c r="B1664" s="680"/>
    </row>
    <row r="1665" spans="1:2">
      <c r="A1665" s="126"/>
      <c r="B1665" s="680"/>
    </row>
    <row r="1666" spans="1:2">
      <c r="A1666" s="126"/>
      <c r="B1666" s="680"/>
    </row>
    <row r="1667" spans="1:2">
      <c r="A1667" s="126"/>
      <c r="B1667" s="680"/>
    </row>
    <row r="1668" spans="1:2">
      <c r="A1668" s="126"/>
      <c r="B1668" s="680"/>
    </row>
    <row r="1669" spans="1:2">
      <c r="A1669" s="126"/>
      <c r="B1669" s="680"/>
    </row>
    <row r="1670" spans="1:2">
      <c r="A1670" s="126"/>
      <c r="B1670" s="680"/>
    </row>
    <row r="1671" spans="1:2">
      <c r="A1671" s="126"/>
      <c r="B1671" s="680"/>
    </row>
    <row r="1672" spans="1:2">
      <c r="A1672" s="126"/>
      <c r="B1672" s="680"/>
    </row>
    <row r="1673" spans="1:2">
      <c r="A1673" s="126"/>
      <c r="B1673" s="680"/>
    </row>
    <row r="1674" spans="1:2">
      <c r="A1674" s="126"/>
      <c r="B1674" s="680"/>
    </row>
    <row r="1675" spans="1:2">
      <c r="A1675" s="126"/>
      <c r="B1675" s="680"/>
    </row>
    <row r="1676" spans="1:2">
      <c r="A1676" s="126"/>
      <c r="B1676" s="680"/>
    </row>
    <row r="1677" spans="1:2">
      <c r="A1677" s="126"/>
      <c r="B1677" s="680"/>
    </row>
    <row r="1678" spans="1:2">
      <c r="A1678" s="126"/>
      <c r="B1678" s="680"/>
    </row>
    <row r="1679" spans="1:2">
      <c r="A1679" s="126"/>
      <c r="B1679" s="680"/>
    </row>
    <row r="1680" spans="1:2">
      <c r="A1680" s="126"/>
      <c r="B1680" s="680"/>
    </row>
    <row r="1681" spans="1:2">
      <c r="A1681" s="126"/>
      <c r="B1681" s="680"/>
    </row>
    <row r="1682" spans="1:2">
      <c r="A1682" s="126"/>
      <c r="B1682" s="680"/>
    </row>
    <row r="1683" spans="1:2">
      <c r="A1683" s="126"/>
      <c r="B1683" s="680"/>
    </row>
    <row r="1684" spans="1:2">
      <c r="A1684" s="126"/>
      <c r="B1684" s="680"/>
    </row>
    <row r="1685" spans="1:2">
      <c r="A1685" s="126"/>
      <c r="B1685" s="680"/>
    </row>
    <row r="1686" spans="1:2">
      <c r="A1686" s="126"/>
      <c r="B1686" s="680"/>
    </row>
    <row r="1687" spans="1:2">
      <c r="A1687" s="126"/>
      <c r="B1687" s="680"/>
    </row>
    <row r="1688" spans="1:2">
      <c r="A1688" s="126"/>
      <c r="B1688" s="680"/>
    </row>
    <row r="1689" spans="1:2">
      <c r="A1689" s="126"/>
      <c r="B1689" s="680"/>
    </row>
    <row r="1690" spans="1:2">
      <c r="A1690" s="126"/>
      <c r="B1690" s="680"/>
    </row>
    <row r="1691" spans="1:2">
      <c r="A1691" s="126"/>
      <c r="B1691" s="680"/>
    </row>
    <row r="1692" spans="1:2">
      <c r="A1692" s="126"/>
      <c r="B1692" s="680"/>
    </row>
    <row r="1693" spans="1:2">
      <c r="A1693" s="126"/>
      <c r="B1693" s="680"/>
    </row>
    <row r="1694" spans="1:2">
      <c r="A1694" s="126"/>
      <c r="B1694" s="680"/>
    </row>
    <row r="1695" spans="1:2">
      <c r="A1695" s="126"/>
      <c r="B1695" s="680"/>
    </row>
    <row r="1696" spans="1:2">
      <c r="A1696" s="126"/>
      <c r="B1696" s="680"/>
    </row>
    <row r="1697" spans="1:2">
      <c r="A1697" s="126"/>
      <c r="B1697" s="680"/>
    </row>
    <row r="1698" spans="1:2">
      <c r="A1698" s="126"/>
      <c r="B1698" s="680"/>
    </row>
    <row r="1699" spans="1:2">
      <c r="A1699" s="126"/>
      <c r="B1699" s="680"/>
    </row>
    <row r="1700" spans="1:2">
      <c r="A1700" s="126"/>
      <c r="B1700" s="680"/>
    </row>
    <row r="1701" spans="1:2">
      <c r="A1701" s="126"/>
      <c r="B1701" s="680"/>
    </row>
    <row r="1702" spans="1:2">
      <c r="A1702" s="126"/>
      <c r="B1702" s="680"/>
    </row>
    <row r="1703" spans="1:2">
      <c r="A1703" s="126"/>
      <c r="B1703" s="680"/>
    </row>
    <row r="1704" spans="1:2">
      <c r="A1704" s="126"/>
      <c r="B1704" s="680"/>
    </row>
    <row r="1705" spans="1:2">
      <c r="A1705" s="126"/>
      <c r="B1705" s="680"/>
    </row>
    <row r="1706" spans="1:2">
      <c r="A1706" s="126"/>
      <c r="B1706" s="680"/>
    </row>
    <row r="1707" spans="1:2">
      <c r="A1707" s="126"/>
      <c r="B1707" s="680"/>
    </row>
    <row r="1708" spans="1:2">
      <c r="A1708" s="126"/>
      <c r="B1708" s="680"/>
    </row>
    <row r="1709" spans="1:2">
      <c r="A1709" s="126"/>
      <c r="B1709" s="680"/>
    </row>
    <row r="1710" spans="1:2">
      <c r="A1710" s="126"/>
      <c r="B1710" s="680"/>
    </row>
    <row r="1711" spans="1:2">
      <c r="A1711" s="126"/>
      <c r="B1711" s="680"/>
    </row>
    <row r="1712" spans="1:2">
      <c r="A1712" s="126"/>
      <c r="B1712" s="680"/>
    </row>
    <row r="1713" spans="1:2">
      <c r="A1713" s="126"/>
      <c r="B1713" s="680"/>
    </row>
    <row r="1714" spans="1:2">
      <c r="A1714" s="126"/>
      <c r="B1714" s="680"/>
    </row>
    <row r="1715" spans="1:2">
      <c r="A1715" s="126"/>
      <c r="B1715" s="680"/>
    </row>
    <row r="1716" spans="1:2">
      <c r="A1716" s="126"/>
      <c r="B1716" s="680"/>
    </row>
    <row r="1717" spans="1:2">
      <c r="A1717" s="126"/>
      <c r="B1717" s="680"/>
    </row>
    <row r="1718" spans="1:2">
      <c r="A1718" s="126"/>
      <c r="B1718" s="680"/>
    </row>
    <row r="1719" spans="1:2">
      <c r="A1719" s="126"/>
      <c r="B1719" s="680"/>
    </row>
    <row r="1720" spans="1:2">
      <c r="A1720" s="126"/>
      <c r="B1720" s="680"/>
    </row>
    <row r="1721" spans="1:2">
      <c r="A1721" s="126"/>
      <c r="B1721" s="680"/>
    </row>
    <row r="1722" spans="1:2">
      <c r="A1722" s="126"/>
      <c r="B1722" s="680"/>
    </row>
    <row r="1723" spans="1:2">
      <c r="A1723" s="126"/>
      <c r="B1723" s="680"/>
    </row>
    <row r="1724" spans="1:2">
      <c r="A1724" s="126"/>
      <c r="B1724" s="680"/>
    </row>
    <row r="1725" spans="1:2">
      <c r="A1725" s="126"/>
      <c r="B1725" s="680"/>
    </row>
    <row r="1726" spans="1:2">
      <c r="A1726" s="126"/>
      <c r="B1726" s="680"/>
    </row>
    <row r="1727" spans="1:2">
      <c r="A1727" s="126"/>
      <c r="B1727" s="680"/>
    </row>
    <row r="1728" spans="1:2">
      <c r="A1728" s="126"/>
      <c r="B1728" s="680"/>
    </row>
    <row r="1729" spans="1:2">
      <c r="A1729" s="126"/>
      <c r="B1729" s="680"/>
    </row>
    <row r="1730" spans="1:2">
      <c r="A1730" s="126"/>
      <c r="B1730" s="680"/>
    </row>
    <row r="1731" spans="1:2">
      <c r="A1731" s="126"/>
      <c r="B1731" s="680"/>
    </row>
    <row r="1732" spans="1:2">
      <c r="A1732" s="126"/>
      <c r="B1732" s="680"/>
    </row>
    <row r="1733" spans="1:2">
      <c r="A1733" s="126"/>
      <c r="B1733" s="680"/>
    </row>
    <row r="1734" spans="1:2">
      <c r="A1734" s="126"/>
      <c r="B1734" s="680"/>
    </row>
    <row r="1735" spans="1:2">
      <c r="A1735" s="126"/>
      <c r="B1735" s="680"/>
    </row>
    <row r="1736" spans="1:2">
      <c r="A1736" s="126"/>
      <c r="B1736" s="680"/>
    </row>
    <row r="1737" spans="1:2">
      <c r="A1737" s="126"/>
      <c r="B1737" s="680"/>
    </row>
    <row r="1738" spans="1:2">
      <c r="A1738" s="126"/>
      <c r="B1738" s="680"/>
    </row>
    <row r="1739" spans="1:2">
      <c r="A1739" s="126"/>
      <c r="B1739" s="680"/>
    </row>
    <row r="1740" spans="1:2">
      <c r="A1740" s="126"/>
      <c r="B1740" s="680"/>
    </row>
    <row r="1741" spans="1:2">
      <c r="A1741" s="126"/>
      <c r="B1741" s="680"/>
    </row>
    <row r="1742" spans="1:2">
      <c r="A1742" s="126"/>
      <c r="B1742" s="680"/>
    </row>
    <row r="1743" spans="1:2">
      <c r="A1743" s="126"/>
      <c r="B1743" s="680"/>
    </row>
    <row r="1744" spans="1:2">
      <c r="A1744" s="126"/>
      <c r="B1744" s="680"/>
    </row>
    <row r="1745" spans="1:2">
      <c r="A1745" s="126"/>
      <c r="B1745" s="680"/>
    </row>
    <row r="1746" spans="1:2">
      <c r="A1746" s="126"/>
      <c r="B1746" s="680"/>
    </row>
    <row r="1747" spans="1:2">
      <c r="A1747" s="126"/>
      <c r="B1747" s="680"/>
    </row>
    <row r="1748" spans="1:2">
      <c r="A1748" s="126"/>
      <c r="B1748" s="680"/>
    </row>
    <row r="1749" spans="1:2">
      <c r="A1749" s="126"/>
      <c r="B1749" s="680"/>
    </row>
    <row r="1750" spans="1:2">
      <c r="A1750" s="126"/>
      <c r="B1750" s="680"/>
    </row>
    <row r="1751" spans="1:2">
      <c r="A1751" s="126"/>
      <c r="B1751" s="680"/>
    </row>
    <row r="1752" spans="1:2">
      <c r="A1752" s="126"/>
      <c r="B1752" s="680"/>
    </row>
    <row r="1753" spans="1:2">
      <c r="A1753" s="126"/>
      <c r="B1753" s="680"/>
    </row>
    <row r="1754" spans="1:2">
      <c r="A1754" s="126"/>
      <c r="B1754" s="680"/>
    </row>
    <row r="1755" spans="1:2">
      <c r="A1755" s="126"/>
      <c r="B1755" s="680"/>
    </row>
    <row r="1756" spans="1:2">
      <c r="A1756" s="126"/>
      <c r="B1756" s="680"/>
    </row>
    <row r="1757" spans="1:2">
      <c r="A1757" s="126"/>
      <c r="B1757" s="680"/>
    </row>
    <row r="1758" spans="1:2">
      <c r="A1758" s="126"/>
      <c r="B1758" s="680"/>
    </row>
    <row r="1759" spans="1:2">
      <c r="A1759" s="126"/>
      <c r="B1759" s="680"/>
    </row>
    <row r="1760" spans="1:2">
      <c r="A1760" s="126"/>
      <c r="B1760" s="680"/>
    </row>
    <row r="1761" spans="1:2">
      <c r="A1761" s="126"/>
      <c r="B1761" s="680"/>
    </row>
    <row r="1762" spans="1:2">
      <c r="A1762" s="126"/>
      <c r="B1762" s="680"/>
    </row>
    <row r="1763" spans="1:2">
      <c r="A1763" s="126"/>
      <c r="B1763" s="680"/>
    </row>
    <row r="1764" spans="1:2">
      <c r="A1764" s="126"/>
      <c r="B1764" s="680"/>
    </row>
    <row r="1765" spans="1:2">
      <c r="A1765" s="126"/>
      <c r="B1765" s="680"/>
    </row>
    <row r="1766" spans="1:2">
      <c r="A1766" s="126"/>
      <c r="B1766" s="680"/>
    </row>
    <row r="1767" spans="1:2">
      <c r="A1767" s="126"/>
      <c r="B1767" s="680"/>
    </row>
    <row r="1768" spans="1:2">
      <c r="A1768" s="126"/>
      <c r="B1768" s="680"/>
    </row>
    <row r="1769" spans="1:2">
      <c r="A1769" s="126"/>
      <c r="B1769" s="680"/>
    </row>
    <row r="1770" spans="1:2">
      <c r="A1770" s="126"/>
      <c r="B1770" s="680"/>
    </row>
    <row r="1771" spans="1:2">
      <c r="A1771" s="126"/>
      <c r="B1771" s="680"/>
    </row>
    <row r="1772" spans="1:2">
      <c r="A1772" s="126"/>
      <c r="B1772" s="680"/>
    </row>
    <row r="1773" spans="1:2">
      <c r="A1773" s="126"/>
      <c r="B1773" s="680"/>
    </row>
    <row r="1774" spans="1:2">
      <c r="A1774" s="126"/>
      <c r="B1774" s="680"/>
    </row>
    <row r="1775" spans="1:2">
      <c r="A1775" s="126"/>
      <c r="B1775" s="680"/>
    </row>
    <row r="1776" spans="1:2">
      <c r="A1776" s="126"/>
      <c r="B1776" s="680"/>
    </row>
    <row r="1777" spans="1:2">
      <c r="A1777" s="126"/>
      <c r="B1777" s="680"/>
    </row>
    <row r="1778" spans="1:2">
      <c r="A1778" s="126"/>
      <c r="B1778" s="680"/>
    </row>
    <row r="1779" spans="1:2">
      <c r="A1779" s="126"/>
      <c r="B1779" s="680"/>
    </row>
    <row r="1780" spans="1:2">
      <c r="A1780" s="126"/>
      <c r="B1780" s="680"/>
    </row>
    <row r="1781" spans="1:2">
      <c r="A1781" s="126"/>
      <c r="B1781" s="680"/>
    </row>
    <row r="1782" spans="1:2">
      <c r="A1782" s="126"/>
      <c r="B1782" s="680"/>
    </row>
    <row r="1783" spans="1:2">
      <c r="A1783" s="126"/>
      <c r="B1783" s="680"/>
    </row>
    <row r="1784" spans="1:2">
      <c r="A1784" s="126"/>
      <c r="B1784" s="680"/>
    </row>
    <row r="1785" spans="1:2">
      <c r="A1785" s="126"/>
      <c r="B1785" s="680"/>
    </row>
    <row r="1786" spans="1:2">
      <c r="A1786" s="126"/>
      <c r="B1786" s="680"/>
    </row>
    <row r="1787" spans="1:2">
      <c r="A1787" s="126"/>
      <c r="B1787" s="680"/>
    </row>
    <row r="1788" spans="1:2">
      <c r="A1788" s="126"/>
      <c r="B1788" s="680"/>
    </row>
    <row r="1789" spans="1:2">
      <c r="A1789" s="126"/>
      <c r="B1789" s="680"/>
    </row>
    <row r="1790" spans="1:2">
      <c r="A1790" s="126"/>
      <c r="B1790" s="680"/>
    </row>
    <row r="1791" spans="1:2">
      <c r="A1791" s="126"/>
      <c r="B1791" s="680"/>
    </row>
    <row r="1792" spans="1:2">
      <c r="A1792" s="126"/>
      <c r="B1792" s="680"/>
    </row>
    <row r="1793" spans="1:2">
      <c r="A1793" s="126"/>
      <c r="B1793" s="680"/>
    </row>
    <row r="1794" spans="1:2">
      <c r="A1794" s="126"/>
      <c r="B1794" s="680"/>
    </row>
    <row r="1795" spans="1:2">
      <c r="A1795" s="126"/>
      <c r="B1795" s="680"/>
    </row>
    <row r="1796" spans="1:2">
      <c r="A1796" s="126"/>
      <c r="B1796" s="680"/>
    </row>
    <row r="1797" spans="1:2">
      <c r="A1797" s="126"/>
      <c r="B1797" s="680"/>
    </row>
    <row r="1798" spans="1:2">
      <c r="A1798" s="126"/>
      <c r="B1798" s="680"/>
    </row>
    <row r="1799" spans="1:2">
      <c r="A1799" s="126"/>
      <c r="B1799" s="680"/>
    </row>
    <row r="1800" spans="1:2">
      <c r="A1800" s="126"/>
      <c r="B1800" s="680"/>
    </row>
    <row r="1801" spans="1:2">
      <c r="A1801" s="126"/>
      <c r="B1801" s="680"/>
    </row>
    <row r="1802" spans="1:2">
      <c r="A1802" s="126"/>
      <c r="B1802" s="680"/>
    </row>
    <row r="1803" spans="1:2">
      <c r="A1803" s="126"/>
      <c r="B1803" s="680"/>
    </row>
    <row r="1804" spans="1:2">
      <c r="A1804" s="126"/>
      <c r="B1804" s="680"/>
    </row>
    <row r="1805" spans="1:2">
      <c r="A1805" s="126"/>
      <c r="B1805" s="680"/>
    </row>
    <row r="1806" spans="1:2">
      <c r="A1806" s="126"/>
      <c r="B1806" s="680"/>
    </row>
    <row r="1807" spans="1:2">
      <c r="A1807" s="126"/>
      <c r="B1807" s="680"/>
    </row>
    <row r="1808" spans="1:2">
      <c r="A1808" s="126"/>
      <c r="B1808" s="680"/>
    </row>
    <row r="1809" spans="1:2">
      <c r="A1809" s="126"/>
      <c r="B1809" s="680"/>
    </row>
    <row r="1810" spans="1:2">
      <c r="A1810" s="126"/>
      <c r="B1810" s="680"/>
    </row>
    <row r="1811" spans="1:2">
      <c r="A1811" s="126"/>
      <c r="B1811" s="680"/>
    </row>
    <row r="1812" spans="1:2">
      <c r="A1812" s="126"/>
      <c r="B1812" s="680"/>
    </row>
    <row r="1813" spans="1:2">
      <c r="A1813" s="126"/>
      <c r="B1813" s="680"/>
    </row>
    <row r="1814" spans="1:2">
      <c r="A1814" s="126"/>
      <c r="B1814" s="680"/>
    </row>
    <row r="1815" spans="1:2">
      <c r="A1815" s="126"/>
      <c r="B1815" s="680"/>
    </row>
    <row r="1816" spans="1:2">
      <c r="A1816" s="126"/>
      <c r="B1816" s="680"/>
    </row>
    <row r="1817" spans="1:2">
      <c r="A1817" s="126"/>
      <c r="B1817" s="680"/>
    </row>
    <row r="1818" spans="1:2">
      <c r="A1818" s="126"/>
      <c r="B1818" s="680"/>
    </row>
    <row r="1819" spans="1:2">
      <c r="A1819" s="126"/>
      <c r="B1819" s="680"/>
    </row>
    <row r="1820" spans="1:2">
      <c r="A1820" s="126"/>
      <c r="B1820" s="680"/>
    </row>
    <row r="1821" spans="1:2">
      <c r="A1821" s="126"/>
      <c r="B1821" s="680"/>
    </row>
    <row r="1822" spans="1:2">
      <c r="A1822" s="126"/>
      <c r="B1822" s="680"/>
    </row>
    <row r="1823" spans="1:2">
      <c r="A1823" s="126"/>
      <c r="B1823" s="680"/>
    </row>
    <row r="1824" spans="1:2">
      <c r="A1824" s="126"/>
      <c r="B1824" s="680"/>
    </row>
    <row r="1825" spans="1:2">
      <c r="A1825" s="126"/>
      <c r="B1825" s="680"/>
    </row>
    <row r="1826" spans="1:2">
      <c r="A1826" s="126"/>
      <c r="B1826" s="680"/>
    </row>
    <row r="1827" spans="1:2">
      <c r="A1827" s="126"/>
      <c r="B1827" s="680"/>
    </row>
    <row r="1828" spans="1:2">
      <c r="A1828" s="126"/>
      <c r="B1828" s="680"/>
    </row>
    <row r="1829" spans="1:2">
      <c r="A1829" s="126"/>
      <c r="B1829" s="680"/>
    </row>
    <row r="1830" spans="1:2">
      <c r="A1830" s="126"/>
      <c r="B1830" s="680"/>
    </row>
    <row r="1831" spans="1:2">
      <c r="A1831" s="126"/>
      <c r="B1831" s="680"/>
    </row>
    <row r="1832" spans="1:2">
      <c r="A1832" s="126"/>
      <c r="B1832" s="680"/>
    </row>
    <row r="1833" spans="1:2">
      <c r="A1833" s="126"/>
      <c r="B1833" s="680"/>
    </row>
    <row r="1834" spans="1:2">
      <c r="A1834" s="126"/>
      <c r="B1834" s="680"/>
    </row>
    <row r="1835" spans="1:2">
      <c r="A1835" s="126"/>
      <c r="B1835" s="680"/>
    </row>
    <row r="1836" spans="1:2">
      <c r="A1836" s="126"/>
      <c r="B1836" s="680"/>
    </row>
    <row r="1837" spans="1:2">
      <c r="A1837" s="126"/>
      <c r="B1837" s="680"/>
    </row>
    <row r="1838" spans="1:2">
      <c r="A1838" s="126"/>
      <c r="B1838" s="680"/>
    </row>
    <row r="1839" spans="1:2">
      <c r="A1839" s="126"/>
      <c r="B1839" s="680"/>
    </row>
    <row r="1840" spans="1:2">
      <c r="A1840" s="126"/>
      <c r="B1840" s="680"/>
    </row>
    <row r="1841" spans="1:2">
      <c r="A1841" s="126"/>
      <c r="B1841" s="680"/>
    </row>
    <row r="1842" spans="1:2">
      <c r="A1842" s="126"/>
      <c r="B1842" s="680"/>
    </row>
    <row r="1843" spans="1:2">
      <c r="A1843" s="126"/>
      <c r="B1843" s="680"/>
    </row>
    <row r="1844" spans="1:2">
      <c r="A1844" s="126"/>
      <c r="B1844" s="680"/>
    </row>
    <row r="1845" spans="1:2">
      <c r="A1845" s="126"/>
      <c r="B1845" s="680"/>
    </row>
    <row r="1846" spans="1:2">
      <c r="A1846" s="126"/>
      <c r="B1846" s="680"/>
    </row>
    <row r="1847" spans="1:2">
      <c r="A1847" s="126"/>
      <c r="B1847" s="680"/>
    </row>
    <row r="1848" spans="1:2">
      <c r="A1848" s="126"/>
      <c r="B1848" s="680"/>
    </row>
    <row r="1849" spans="1:2">
      <c r="A1849" s="126"/>
      <c r="B1849" s="680"/>
    </row>
    <row r="1850" spans="1:2">
      <c r="A1850" s="126"/>
      <c r="B1850" s="680"/>
    </row>
    <row r="1851" spans="1:2">
      <c r="A1851" s="126"/>
      <c r="B1851" s="680"/>
    </row>
    <row r="1852" spans="1:2">
      <c r="A1852" s="126"/>
      <c r="B1852" s="680"/>
    </row>
    <row r="1853" spans="1:2">
      <c r="A1853" s="126"/>
      <c r="B1853" s="680"/>
    </row>
    <row r="1854" spans="1:2">
      <c r="A1854" s="126"/>
      <c r="B1854" s="680"/>
    </row>
    <row r="1855" spans="1:2">
      <c r="A1855" s="126"/>
      <c r="B1855" s="680"/>
    </row>
    <row r="1856" spans="1:2">
      <c r="A1856" s="126"/>
      <c r="B1856" s="680"/>
    </row>
    <row r="1857" spans="1:2">
      <c r="A1857" s="126"/>
      <c r="B1857" s="680"/>
    </row>
    <row r="1858" spans="1:2">
      <c r="A1858" s="126"/>
      <c r="B1858" s="680"/>
    </row>
    <row r="1859" spans="1:2">
      <c r="A1859" s="126"/>
      <c r="B1859" s="680"/>
    </row>
    <row r="1860" spans="1:2">
      <c r="A1860" s="126"/>
      <c r="B1860" s="680"/>
    </row>
    <row r="1861" spans="1:2">
      <c r="A1861" s="126"/>
      <c r="B1861" s="680"/>
    </row>
    <row r="1862" spans="1:2">
      <c r="A1862" s="126"/>
      <c r="B1862" s="680"/>
    </row>
    <row r="1863" spans="1:2">
      <c r="A1863" s="126"/>
      <c r="B1863" s="680"/>
    </row>
    <row r="1864" spans="1:2">
      <c r="A1864" s="126"/>
      <c r="B1864" s="680"/>
    </row>
    <row r="1865" spans="1:2">
      <c r="A1865" s="126"/>
      <c r="B1865" s="680"/>
    </row>
    <row r="1866" spans="1:2">
      <c r="A1866" s="126"/>
      <c r="B1866" s="680"/>
    </row>
    <row r="1867" spans="1:2">
      <c r="A1867" s="126"/>
      <c r="B1867" s="680"/>
    </row>
    <row r="1868" spans="1:2">
      <c r="A1868" s="126"/>
      <c r="B1868" s="680"/>
    </row>
    <row r="1869" spans="1:2">
      <c r="A1869" s="126"/>
      <c r="B1869" s="680"/>
    </row>
    <row r="1870" spans="1:2">
      <c r="A1870" s="126"/>
      <c r="B1870" s="680"/>
    </row>
    <row r="1871" spans="1:2">
      <c r="A1871" s="126"/>
      <c r="B1871" s="680"/>
    </row>
    <row r="1872" spans="1:2">
      <c r="A1872" s="126"/>
      <c r="B1872" s="680"/>
    </row>
    <row r="1873" spans="1:2">
      <c r="A1873" s="126"/>
      <c r="B1873" s="680"/>
    </row>
    <row r="1874" spans="1:2">
      <c r="A1874" s="126"/>
      <c r="B1874" s="680"/>
    </row>
    <row r="1875" spans="1:2">
      <c r="A1875" s="126"/>
      <c r="B1875" s="680"/>
    </row>
    <row r="1876" spans="1:2">
      <c r="A1876" s="126"/>
      <c r="B1876" s="680"/>
    </row>
    <row r="1877" spans="1:2">
      <c r="A1877" s="126"/>
      <c r="B1877" s="680"/>
    </row>
    <row r="1878" spans="1:2">
      <c r="A1878" s="126"/>
      <c r="B1878" s="680"/>
    </row>
    <row r="1879" spans="1:2">
      <c r="A1879" s="126"/>
      <c r="B1879" s="680"/>
    </row>
    <row r="1880" spans="1:2">
      <c r="A1880" s="126"/>
      <c r="B1880" s="680"/>
    </row>
    <row r="1881" spans="1:2">
      <c r="A1881" s="126"/>
      <c r="B1881" s="680"/>
    </row>
    <row r="1882" spans="1:2">
      <c r="A1882" s="126"/>
      <c r="B1882" s="680"/>
    </row>
    <row r="1883" spans="1:2">
      <c r="A1883" s="126"/>
      <c r="B1883" s="680"/>
    </row>
    <row r="1884" spans="1:2">
      <c r="A1884" s="126"/>
      <c r="B1884" s="680"/>
    </row>
    <row r="1885" spans="1:2">
      <c r="A1885" s="126"/>
      <c r="B1885" s="680"/>
    </row>
    <row r="1886" spans="1:2">
      <c r="A1886" s="126"/>
      <c r="B1886" s="680"/>
    </row>
    <row r="1887" spans="1:2">
      <c r="A1887" s="126"/>
      <c r="B1887" s="680"/>
    </row>
    <row r="1888" spans="1:2">
      <c r="A1888" s="126"/>
      <c r="B1888" s="680"/>
    </row>
    <row r="1889" spans="1:2">
      <c r="A1889" s="126"/>
      <c r="B1889" s="680"/>
    </row>
    <row r="1890" spans="1:2">
      <c r="A1890" s="126"/>
      <c r="B1890" s="680"/>
    </row>
    <row r="1891" spans="1:2">
      <c r="A1891" s="126"/>
      <c r="B1891" s="680"/>
    </row>
    <row r="1892" spans="1:2">
      <c r="A1892" s="126"/>
      <c r="B1892" s="680"/>
    </row>
    <row r="1893" spans="1:2">
      <c r="A1893" s="126"/>
      <c r="B1893" s="680"/>
    </row>
    <row r="1894" spans="1:2">
      <c r="A1894" s="126"/>
      <c r="B1894" s="680"/>
    </row>
    <row r="1895" spans="1:2">
      <c r="A1895" s="126"/>
      <c r="B1895" s="680"/>
    </row>
    <row r="1896" spans="1:2">
      <c r="A1896" s="126"/>
      <c r="B1896" s="680"/>
    </row>
    <row r="1897" spans="1:2">
      <c r="A1897" s="126"/>
      <c r="B1897" s="680"/>
    </row>
    <row r="1898" spans="1:2">
      <c r="A1898" s="126"/>
      <c r="B1898" s="680"/>
    </row>
    <row r="1899" spans="1:2">
      <c r="A1899" s="126"/>
      <c r="B1899" s="680"/>
    </row>
    <row r="1900" spans="1:2">
      <c r="A1900" s="126"/>
      <c r="B1900" s="680"/>
    </row>
    <row r="1901" spans="1:2">
      <c r="A1901" s="126"/>
      <c r="B1901" s="680"/>
    </row>
    <row r="1902" spans="1:2">
      <c r="A1902" s="126"/>
      <c r="B1902" s="680"/>
    </row>
    <row r="1903" spans="1:2">
      <c r="A1903" s="126"/>
      <c r="B1903" s="680"/>
    </row>
    <row r="1904" spans="1:2">
      <c r="A1904" s="126"/>
      <c r="B1904" s="680"/>
    </row>
    <row r="1905" spans="1:2">
      <c r="A1905" s="126"/>
      <c r="B1905" s="680"/>
    </row>
    <row r="1906" spans="1:2">
      <c r="A1906" s="126"/>
      <c r="B1906" s="680"/>
    </row>
    <row r="1907" spans="1:2">
      <c r="A1907" s="126"/>
      <c r="B1907" s="680"/>
    </row>
    <row r="1908" spans="1:2">
      <c r="A1908" s="126"/>
      <c r="B1908" s="680"/>
    </row>
    <row r="1909" spans="1:2">
      <c r="A1909" s="126"/>
      <c r="B1909" s="680"/>
    </row>
    <row r="1910" spans="1:2">
      <c r="A1910" s="126"/>
      <c r="B1910" s="680"/>
    </row>
    <row r="1911" spans="1:2">
      <c r="A1911" s="126"/>
      <c r="B1911" s="680"/>
    </row>
    <row r="1912" spans="1:2">
      <c r="A1912" s="126"/>
      <c r="B1912" s="680"/>
    </row>
    <row r="1913" spans="1:2">
      <c r="A1913" s="126"/>
      <c r="B1913" s="680"/>
    </row>
    <row r="1914" spans="1:2">
      <c r="A1914" s="126"/>
      <c r="B1914" s="680"/>
    </row>
    <row r="1915" spans="1:2">
      <c r="A1915" s="126"/>
      <c r="B1915" s="680"/>
    </row>
    <row r="1916" spans="1:2">
      <c r="A1916" s="126"/>
      <c r="B1916" s="680"/>
    </row>
    <row r="1917" spans="1:2">
      <c r="A1917" s="126"/>
      <c r="B1917" s="680"/>
    </row>
    <row r="1918" spans="1:2">
      <c r="A1918" s="126"/>
      <c r="B1918" s="680"/>
    </row>
    <row r="1919" spans="1:2">
      <c r="A1919" s="126"/>
      <c r="B1919" s="680"/>
    </row>
    <row r="1920" spans="1:2">
      <c r="A1920" s="126"/>
      <c r="B1920" s="680"/>
    </row>
    <row r="1921" spans="1:2">
      <c r="A1921" s="126"/>
      <c r="B1921" s="680"/>
    </row>
    <row r="1922" spans="1:2">
      <c r="A1922" s="126"/>
      <c r="B1922" s="680"/>
    </row>
    <row r="1923" spans="1:2">
      <c r="A1923" s="126"/>
      <c r="B1923" s="680"/>
    </row>
    <row r="1924" spans="1:2">
      <c r="A1924" s="126"/>
      <c r="B1924" s="680"/>
    </row>
    <row r="1925" spans="1:2">
      <c r="A1925" s="126"/>
      <c r="B1925" s="680"/>
    </row>
    <row r="1926" spans="1:2">
      <c r="A1926" s="126"/>
      <c r="B1926" s="680"/>
    </row>
    <row r="1927" spans="1:2">
      <c r="A1927" s="126"/>
      <c r="B1927" s="680"/>
    </row>
    <row r="1928" spans="1:2">
      <c r="A1928" s="126"/>
      <c r="B1928" s="680"/>
    </row>
    <row r="1929" spans="1:2">
      <c r="A1929" s="126"/>
      <c r="B1929" s="680"/>
    </row>
    <row r="1930" spans="1:2">
      <c r="A1930" s="126"/>
      <c r="B1930" s="680"/>
    </row>
    <row r="1931" spans="1:2">
      <c r="A1931" s="126"/>
      <c r="B1931" s="680"/>
    </row>
    <row r="1932" spans="1:2">
      <c r="A1932" s="126"/>
      <c r="B1932" s="680"/>
    </row>
    <row r="1933" spans="1:2">
      <c r="A1933" s="126"/>
      <c r="B1933" s="680"/>
    </row>
    <row r="1934" spans="1:2">
      <c r="A1934" s="126"/>
      <c r="B1934" s="680"/>
    </row>
    <row r="1935" spans="1:2">
      <c r="A1935" s="126"/>
      <c r="B1935" s="680"/>
    </row>
    <row r="1936" spans="1:2">
      <c r="A1936" s="126"/>
      <c r="B1936" s="680"/>
    </row>
    <row r="1937" spans="1:2">
      <c r="A1937" s="126"/>
      <c r="B1937" s="680"/>
    </row>
    <row r="1938" spans="1:2">
      <c r="A1938" s="126"/>
      <c r="B1938" s="680"/>
    </row>
    <row r="1939" spans="1:2">
      <c r="A1939" s="126"/>
      <c r="B1939" s="680"/>
    </row>
    <row r="1940" spans="1:2">
      <c r="A1940" s="126"/>
      <c r="B1940" s="680"/>
    </row>
    <row r="1941" spans="1:2">
      <c r="A1941" s="126"/>
      <c r="B1941" s="680"/>
    </row>
    <row r="1942" spans="1:2">
      <c r="A1942" s="126"/>
      <c r="B1942" s="680"/>
    </row>
    <row r="1943" spans="1:2">
      <c r="A1943" s="126"/>
      <c r="B1943" s="680"/>
    </row>
    <row r="1944" spans="1:2">
      <c r="A1944" s="126"/>
      <c r="B1944" s="680"/>
    </row>
    <row r="1945" spans="1:2">
      <c r="A1945" s="126"/>
      <c r="B1945" s="680"/>
    </row>
    <row r="1946" spans="1:2">
      <c r="A1946" s="126"/>
      <c r="B1946" s="680"/>
    </row>
    <row r="1947" spans="1:2">
      <c r="A1947" s="126"/>
      <c r="B1947" s="680"/>
    </row>
    <row r="1948" spans="1:2">
      <c r="A1948" s="126"/>
      <c r="B1948" s="680"/>
    </row>
    <row r="1949" spans="1:2">
      <c r="A1949" s="126"/>
      <c r="B1949" s="680"/>
    </row>
    <row r="1950" spans="1:2">
      <c r="A1950" s="126"/>
      <c r="B1950" s="680"/>
    </row>
    <row r="1951" spans="1:2">
      <c r="A1951" s="126"/>
      <c r="B1951" s="680"/>
    </row>
    <row r="1952" spans="1:2">
      <c r="A1952" s="126"/>
      <c r="B1952" s="680"/>
    </row>
    <row r="1953" spans="1:2">
      <c r="A1953" s="126"/>
      <c r="B1953" s="680"/>
    </row>
    <row r="1954" spans="1:2">
      <c r="A1954" s="126"/>
      <c r="B1954" s="680"/>
    </row>
    <row r="1955" spans="1:2">
      <c r="A1955" s="126"/>
      <c r="B1955" s="680"/>
    </row>
    <row r="1956" spans="1:2">
      <c r="A1956" s="126"/>
      <c r="B1956" s="680"/>
    </row>
    <row r="1957" spans="1:2">
      <c r="A1957" s="126"/>
      <c r="B1957" s="680"/>
    </row>
    <row r="1958" spans="1:2">
      <c r="A1958" s="126"/>
      <c r="B1958" s="680"/>
    </row>
    <row r="1959" spans="1:2">
      <c r="A1959" s="126"/>
      <c r="B1959" s="680"/>
    </row>
    <row r="1960" spans="1:2">
      <c r="A1960" s="126"/>
      <c r="B1960" s="680"/>
    </row>
    <row r="1961" spans="1:2">
      <c r="A1961" s="126"/>
      <c r="B1961" s="680"/>
    </row>
    <row r="1962" spans="1:2">
      <c r="A1962" s="126"/>
      <c r="B1962" s="680"/>
    </row>
    <row r="1963" spans="1:2">
      <c r="A1963" s="126"/>
      <c r="B1963" s="680"/>
    </row>
    <row r="1964" spans="1:2">
      <c r="A1964" s="126"/>
      <c r="B1964" s="680"/>
    </row>
    <row r="1965" spans="1:2">
      <c r="A1965" s="126"/>
      <c r="B1965" s="680"/>
    </row>
    <row r="1966" spans="1:2">
      <c r="A1966" s="126"/>
      <c r="B1966" s="680"/>
    </row>
    <row r="1967" spans="1:2">
      <c r="A1967" s="126"/>
      <c r="B1967" s="680"/>
    </row>
    <row r="1968" spans="1:2">
      <c r="A1968" s="126"/>
      <c r="B1968" s="680"/>
    </row>
    <row r="1969" spans="1:2">
      <c r="A1969" s="126"/>
      <c r="B1969" s="680"/>
    </row>
    <row r="1970" spans="1:2">
      <c r="A1970" s="126"/>
      <c r="B1970" s="680"/>
    </row>
    <row r="1971" spans="1:2">
      <c r="A1971" s="126"/>
      <c r="B1971" s="680"/>
    </row>
    <row r="1972" spans="1:2">
      <c r="A1972" s="126"/>
      <c r="B1972" s="680"/>
    </row>
    <row r="1973" spans="1:2">
      <c r="A1973" s="126"/>
      <c r="B1973" s="680"/>
    </row>
    <row r="1974" spans="1:2">
      <c r="A1974" s="126"/>
      <c r="B1974" s="680"/>
    </row>
    <row r="1975" spans="1:2">
      <c r="A1975" s="126"/>
      <c r="B1975" s="680"/>
    </row>
    <row r="1976" spans="1:2">
      <c r="A1976" s="126"/>
      <c r="B1976" s="680"/>
    </row>
    <row r="1977" spans="1:2">
      <c r="A1977" s="126"/>
      <c r="B1977" s="680"/>
    </row>
    <row r="1978" spans="1:2">
      <c r="A1978" s="126"/>
      <c r="B1978" s="680"/>
    </row>
    <row r="1979" spans="1:2">
      <c r="A1979" s="126"/>
      <c r="B1979" s="680"/>
    </row>
    <row r="1980" spans="1:2">
      <c r="A1980" s="126"/>
      <c r="B1980" s="680"/>
    </row>
    <row r="1981" spans="1:2">
      <c r="A1981" s="126"/>
      <c r="B1981" s="680"/>
    </row>
    <row r="1982" spans="1:2">
      <c r="A1982" s="126"/>
      <c r="B1982" s="680"/>
    </row>
    <row r="1983" spans="1:2">
      <c r="A1983" s="126"/>
      <c r="B1983" s="680"/>
    </row>
    <row r="1984" spans="1:2">
      <c r="A1984" s="126"/>
      <c r="B1984" s="680"/>
    </row>
    <row r="1985" spans="1:2">
      <c r="A1985" s="126"/>
      <c r="B1985" s="680"/>
    </row>
    <row r="1986" spans="1:2">
      <c r="A1986" s="126"/>
      <c r="B1986" s="680"/>
    </row>
    <row r="1987" spans="1:2">
      <c r="A1987" s="126"/>
      <c r="B1987" s="680"/>
    </row>
    <row r="1988" spans="1:2">
      <c r="A1988" s="126"/>
      <c r="B1988" s="680"/>
    </row>
    <row r="1989" spans="1:2">
      <c r="A1989" s="126"/>
      <c r="B1989" s="680"/>
    </row>
    <row r="1990" spans="1:2">
      <c r="A1990" s="126"/>
      <c r="B1990" s="680"/>
    </row>
    <row r="1991" spans="1:2">
      <c r="A1991" s="126"/>
      <c r="B1991" s="680"/>
    </row>
    <row r="1992" spans="1:2">
      <c r="A1992" s="126"/>
      <c r="B1992" s="680"/>
    </row>
    <row r="1993" spans="1:2">
      <c r="A1993" s="126"/>
      <c r="B1993" s="680"/>
    </row>
    <row r="1994" spans="1:2">
      <c r="A1994" s="126"/>
      <c r="B1994" s="680"/>
    </row>
    <row r="1995" spans="1:2">
      <c r="A1995" s="126"/>
      <c r="B1995" s="680"/>
    </row>
    <row r="1996" spans="1:2">
      <c r="A1996" s="126"/>
      <c r="B1996" s="680"/>
    </row>
    <row r="1997" spans="1:2">
      <c r="A1997" s="126"/>
      <c r="B1997" s="680"/>
    </row>
    <row r="1998" spans="1:2">
      <c r="A1998" s="126"/>
      <c r="B1998" s="680"/>
    </row>
    <row r="1999" spans="1:2">
      <c r="A1999" s="126"/>
      <c r="B1999" s="680"/>
    </row>
    <row r="2000" spans="1:2">
      <c r="A2000" s="126"/>
      <c r="B2000" s="680"/>
    </row>
    <row r="2001" spans="1:2">
      <c r="A2001" s="126"/>
      <c r="B2001" s="680"/>
    </row>
    <row r="2002" spans="1:2">
      <c r="A2002" s="126"/>
      <c r="B2002" s="680"/>
    </row>
    <row r="2003" spans="1:2">
      <c r="A2003" s="126"/>
      <c r="B2003" s="680"/>
    </row>
    <row r="2004" spans="1:2">
      <c r="A2004" s="126"/>
      <c r="B2004" s="680"/>
    </row>
    <row r="2005" spans="1:2">
      <c r="A2005" s="126"/>
      <c r="B2005" s="680"/>
    </row>
    <row r="2006" spans="1:2">
      <c r="A2006" s="126"/>
      <c r="B2006" s="680"/>
    </row>
    <row r="2007" spans="1:2">
      <c r="A2007" s="126"/>
      <c r="B2007" s="680"/>
    </row>
    <row r="2008" spans="1:2">
      <c r="A2008" s="126"/>
      <c r="B2008" s="680"/>
    </row>
    <row r="2009" spans="1:2">
      <c r="A2009" s="126"/>
      <c r="B2009" s="680"/>
    </row>
    <row r="2010" spans="1:2">
      <c r="A2010" s="126"/>
      <c r="B2010" s="680"/>
    </row>
    <row r="2011" spans="1:2">
      <c r="A2011" s="126"/>
      <c r="B2011" s="680"/>
    </row>
    <row r="2012" spans="1:2">
      <c r="A2012" s="126"/>
      <c r="B2012" s="680"/>
    </row>
    <row r="2013" spans="1:2">
      <c r="A2013" s="126"/>
      <c r="B2013" s="680"/>
    </row>
    <row r="2014" spans="1:2">
      <c r="A2014" s="126"/>
      <c r="B2014" s="680"/>
    </row>
    <row r="2015" spans="1:2">
      <c r="A2015" s="126"/>
      <c r="B2015" s="680"/>
    </row>
    <row r="2016" spans="1:2">
      <c r="A2016" s="126"/>
      <c r="B2016" s="680"/>
    </row>
    <row r="2017" spans="1:2">
      <c r="A2017" s="126"/>
      <c r="B2017" s="680"/>
    </row>
    <row r="2018" spans="1:2">
      <c r="A2018" s="126"/>
      <c r="B2018" s="680"/>
    </row>
    <row r="2019" spans="1:2">
      <c r="A2019" s="126"/>
      <c r="B2019" s="680"/>
    </row>
    <row r="2020" spans="1:2">
      <c r="A2020" s="126"/>
      <c r="B2020" s="680"/>
    </row>
    <row r="2021" spans="1:2">
      <c r="A2021" s="126"/>
      <c r="B2021" s="680"/>
    </row>
    <row r="2022" spans="1:2">
      <c r="A2022" s="126"/>
      <c r="B2022" s="680"/>
    </row>
    <row r="2023" spans="1:2">
      <c r="A2023" s="126"/>
      <c r="B2023" s="680"/>
    </row>
    <row r="2024" spans="1:2">
      <c r="A2024" s="126"/>
      <c r="B2024" s="680"/>
    </row>
    <row r="2025" spans="1:2">
      <c r="A2025" s="126"/>
      <c r="B2025" s="680"/>
    </row>
    <row r="2026" spans="1:2">
      <c r="A2026" s="126"/>
      <c r="B2026" s="680"/>
    </row>
    <row r="2027" spans="1:2">
      <c r="A2027" s="126"/>
      <c r="B2027" s="680"/>
    </row>
    <row r="2028" spans="1:2">
      <c r="A2028" s="126"/>
      <c r="B2028" s="680"/>
    </row>
    <row r="2029" spans="1:2">
      <c r="A2029" s="126"/>
      <c r="B2029" s="680"/>
    </row>
    <row r="2030" spans="1:2">
      <c r="A2030" s="126"/>
      <c r="B2030" s="680"/>
    </row>
    <row r="2031" spans="1:2">
      <c r="A2031" s="126"/>
      <c r="B2031" s="680"/>
    </row>
    <row r="2032" spans="1:2">
      <c r="A2032" s="126"/>
      <c r="B2032" s="680"/>
    </row>
    <row r="2033" spans="1:2">
      <c r="A2033" s="126"/>
      <c r="B2033" s="680"/>
    </row>
    <row r="2034" spans="1:2">
      <c r="A2034" s="126"/>
      <c r="B2034" s="680"/>
    </row>
    <row r="2035" spans="1:2">
      <c r="A2035" s="126"/>
      <c r="B2035" s="680"/>
    </row>
    <row r="2036" spans="1:2">
      <c r="A2036" s="126"/>
      <c r="B2036" s="680"/>
    </row>
    <row r="2037" spans="1:2">
      <c r="A2037" s="126"/>
      <c r="B2037" s="680"/>
    </row>
    <row r="2038" spans="1:2">
      <c r="A2038" s="126"/>
      <c r="B2038" s="680"/>
    </row>
    <row r="2039" spans="1:2">
      <c r="A2039" s="126"/>
      <c r="B2039" s="680"/>
    </row>
    <row r="2040" spans="1:2">
      <c r="A2040" s="126"/>
      <c r="B2040" s="680"/>
    </row>
    <row r="2041" spans="1:2">
      <c r="A2041" s="126"/>
      <c r="B2041" s="680"/>
    </row>
    <row r="2042" spans="1:2">
      <c r="A2042" s="126"/>
      <c r="B2042" s="680"/>
    </row>
    <row r="2043" spans="1:2">
      <c r="A2043" s="126"/>
      <c r="B2043" s="680"/>
    </row>
    <row r="2044" spans="1:2">
      <c r="A2044" s="126"/>
      <c r="B2044" s="680"/>
    </row>
    <row r="2045" spans="1:2">
      <c r="A2045" s="126"/>
      <c r="B2045" s="680"/>
    </row>
    <row r="2046" spans="1:2">
      <c r="A2046" s="126"/>
      <c r="B2046" s="680"/>
    </row>
    <row r="2047" spans="1:2">
      <c r="A2047" s="126"/>
      <c r="B2047" s="680"/>
    </row>
    <row r="2048" spans="1:2">
      <c r="A2048" s="126"/>
      <c r="B2048" s="680"/>
    </row>
    <row r="2049" spans="1:2">
      <c r="A2049" s="126"/>
      <c r="B2049" s="680"/>
    </row>
    <row r="2050" spans="1:2">
      <c r="A2050" s="126"/>
      <c r="B2050" s="680"/>
    </row>
    <row r="2051" spans="1:2">
      <c r="A2051" s="126"/>
      <c r="B2051" s="680"/>
    </row>
    <row r="2052" spans="1:2">
      <c r="A2052" s="126"/>
      <c r="B2052" s="680"/>
    </row>
    <row r="2053" spans="1:2">
      <c r="A2053" s="126"/>
      <c r="B2053" s="680"/>
    </row>
    <row r="2054" spans="1:2">
      <c r="A2054" s="126"/>
      <c r="B2054" s="680"/>
    </row>
    <row r="2055" spans="1:2">
      <c r="A2055" s="126"/>
      <c r="B2055" s="680"/>
    </row>
    <row r="2056" spans="1:2">
      <c r="A2056" s="126"/>
      <c r="B2056" s="680"/>
    </row>
    <row r="2057" spans="1:2">
      <c r="A2057" s="126"/>
      <c r="B2057" s="680"/>
    </row>
    <row r="2058" spans="1:2">
      <c r="A2058" s="126"/>
      <c r="B2058" s="680"/>
    </row>
    <row r="2059" spans="1:2">
      <c r="A2059" s="126"/>
      <c r="B2059" s="680"/>
    </row>
    <row r="2060" spans="1:2">
      <c r="A2060" s="126"/>
      <c r="B2060" s="680"/>
    </row>
    <row r="2061" spans="1:2">
      <c r="A2061" s="126"/>
      <c r="B2061" s="680"/>
    </row>
    <row r="2062" spans="1:2">
      <c r="A2062" s="126"/>
      <c r="B2062" s="680"/>
    </row>
    <row r="2063" spans="1:2">
      <c r="A2063" s="126"/>
      <c r="B2063" s="680"/>
    </row>
    <row r="2064" spans="1:2">
      <c r="A2064" s="126"/>
      <c r="B2064" s="680"/>
    </row>
    <row r="2065" spans="1:2">
      <c r="A2065" s="126"/>
      <c r="B2065" s="680"/>
    </row>
    <row r="2066" spans="1:2">
      <c r="A2066" s="126"/>
      <c r="B2066" s="680"/>
    </row>
    <row r="2067" spans="1:2">
      <c r="A2067" s="126"/>
      <c r="B2067" s="680"/>
    </row>
    <row r="2068" spans="1:2">
      <c r="A2068" s="126"/>
      <c r="B2068" s="680"/>
    </row>
    <row r="2069" spans="1:2">
      <c r="A2069" s="126"/>
      <c r="B2069" s="680"/>
    </row>
    <row r="2070" spans="1:2">
      <c r="A2070" s="126"/>
      <c r="B2070" s="680"/>
    </row>
    <row r="2071" spans="1:2">
      <c r="A2071" s="126"/>
      <c r="B2071" s="680"/>
    </row>
    <row r="2072" spans="1:2">
      <c r="A2072" s="126"/>
      <c r="B2072" s="680"/>
    </row>
    <row r="2073" spans="1:2">
      <c r="A2073" s="126"/>
      <c r="B2073" s="680"/>
    </row>
    <row r="2074" spans="1:2">
      <c r="A2074" s="126"/>
      <c r="B2074" s="680"/>
    </row>
    <row r="2075" spans="1:2">
      <c r="A2075" s="126"/>
      <c r="B2075" s="680"/>
    </row>
    <row r="2076" spans="1:2">
      <c r="A2076" s="126"/>
      <c r="B2076" s="680"/>
    </row>
    <row r="2077" spans="1:2">
      <c r="A2077" s="126"/>
      <c r="B2077" s="680"/>
    </row>
    <row r="2078" spans="1:2">
      <c r="A2078" s="126"/>
      <c r="B2078" s="680"/>
    </row>
    <row r="2079" spans="1:2">
      <c r="A2079" s="126"/>
      <c r="B2079" s="680"/>
    </row>
    <row r="2080" spans="1:2">
      <c r="A2080" s="126"/>
      <c r="B2080" s="680"/>
    </row>
    <row r="2081" spans="1:2">
      <c r="A2081" s="126"/>
      <c r="B2081" s="680"/>
    </row>
    <row r="2082" spans="1:2">
      <c r="A2082" s="126"/>
      <c r="B2082" s="680"/>
    </row>
    <row r="2083" spans="1:2">
      <c r="A2083" s="126"/>
      <c r="B2083" s="680"/>
    </row>
    <row r="2084" spans="1:2">
      <c r="A2084" s="126"/>
      <c r="B2084" s="680"/>
    </row>
    <row r="2085" spans="1:2">
      <c r="A2085" s="126"/>
      <c r="B2085" s="680"/>
    </row>
    <row r="2086" spans="1:2">
      <c r="A2086" s="126"/>
      <c r="B2086" s="680"/>
    </row>
    <row r="2087" spans="1:2">
      <c r="A2087" s="126"/>
      <c r="B2087" s="680"/>
    </row>
    <row r="2088" spans="1:2">
      <c r="A2088" s="126"/>
      <c r="B2088" s="680"/>
    </row>
    <row r="2089" spans="1:2">
      <c r="A2089" s="126"/>
      <c r="B2089" s="680"/>
    </row>
    <row r="2090" spans="1:2">
      <c r="A2090" s="126"/>
      <c r="B2090" s="680"/>
    </row>
    <row r="2091" spans="1:2">
      <c r="A2091" s="126"/>
      <c r="B2091" s="680"/>
    </row>
    <row r="2092" spans="1:2">
      <c r="A2092" s="126"/>
      <c r="B2092" s="680"/>
    </row>
    <row r="2093" spans="1:2">
      <c r="A2093" s="126"/>
      <c r="B2093" s="680"/>
    </row>
    <row r="2094" spans="1:2">
      <c r="A2094" s="126"/>
      <c r="B2094" s="680"/>
    </row>
    <row r="2095" spans="1:2">
      <c r="A2095" s="126"/>
      <c r="B2095" s="680"/>
    </row>
    <row r="2096" spans="1:2">
      <c r="A2096" s="126"/>
      <c r="B2096" s="680"/>
    </row>
    <row r="2097" spans="1:2">
      <c r="A2097" s="126"/>
      <c r="B2097" s="680"/>
    </row>
    <row r="2098" spans="1:2">
      <c r="A2098" s="126"/>
      <c r="B2098" s="680"/>
    </row>
    <row r="2099" spans="1:2">
      <c r="A2099" s="126"/>
      <c r="B2099" s="680"/>
    </row>
    <row r="2100" spans="1:2">
      <c r="A2100" s="126"/>
      <c r="B2100" s="680"/>
    </row>
    <row r="2101" spans="1:2">
      <c r="A2101" s="126"/>
      <c r="B2101" s="680"/>
    </row>
    <row r="2102" spans="1:2">
      <c r="A2102" s="126"/>
      <c r="B2102" s="680"/>
    </row>
    <row r="2103" spans="1:2">
      <c r="A2103" s="126"/>
      <c r="B2103" s="680"/>
    </row>
    <row r="2104" spans="1:2">
      <c r="A2104" s="126"/>
      <c r="B2104" s="680"/>
    </row>
    <row r="2105" spans="1:2">
      <c r="A2105" s="126"/>
      <c r="B2105" s="680"/>
    </row>
    <row r="2106" spans="1:2">
      <c r="A2106" s="126"/>
      <c r="B2106" s="680"/>
    </row>
    <row r="2107" spans="1:2">
      <c r="A2107" s="126"/>
      <c r="B2107" s="680"/>
    </row>
    <row r="2108" spans="1:2">
      <c r="A2108" s="126"/>
      <c r="B2108" s="680"/>
    </row>
    <row r="2109" spans="1:2">
      <c r="A2109" s="126"/>
      <c r="B2109" s="680"/>
    </row>
    <row r="2110" spans="1:2">
      <c r="A2110" s="126"/>
      <c r="B2110" s="680"/>
    </row>
    <row r="2111" spans="1:2">
      <c r="A2111" s="126"/>
      <c r="B2111" s="680"/>
    </row>
    <row r="2112" spans="1:2">
      <c r="A2112" s="126"/>
      <c r="B2112" s="680"/>
    </row>
    <row r="2113" spans="1:2">
      <c r="A2113" s="126"/>
      <c r="B2113" s="680"/>
    </row>
    <row r="2114" spans="1:2">
      <c r="A2114" s="126"/>
      <c r="B2114" s="680"/>
    </row>
    <row r="2115" spans="1:2">
      <c r="A2115" s="126"/>
      <c r="B2115" s="680"/>
    </row>
    <row r="2116" spans="1:2">
      <c r="A2116" s="126"/>
      <c r="B2116" s="680"/>
    </row>
    <row r="2117" spans="1:2">
      <c r="A2117" s="126"/>
      <c r="B2117" s="680"/>
    </row>
    <row r="2118" spans="1:2">
      <c r="A2118" s="126"/>
      <c r="B2118" s="680"/>
    </row>
    <row r="2119" spans="1:2">
      <c r="A2119" s="126"/>
      <c r="B2119" s="680"/>
    </row>
    <row r="2120" spans="1:2">
      <c r="A2120" s="126"/>
      <c r="B2120" s="680"/>
    </row>
    <row r="2121" spans="1:2">
      <c r="A2121" s="126"/>
      <c r="B2121" s="680"/>
    </row>
    <row r="2122" spans="1:2">
      <c r="A2122" s="126"/>
      <c r="B2122" s="680"/>
    </row>
    <row r="2123" spans="1:2">
      <c r="A2123" s="126"/>
      <c r="B2123" s="680"/>
    </row>
    <row r="2124" spans="1:2">
      <c r="A2124" s="126"/>
      <c r="B2124" s="680"/>
    </row>
    <row r="2125" spans="1:2">
      <c r="A2125" s="126"/>
      <c r="B2125" s="680"/>
    </row>
    <row r="2126" spans="1:2">
      <c r="A2126" s="126"/>
      <c r="B2126" s="680"/>
    </row>
    <row r="2127" spans="1:2">
      <c r="A2127" s="126"/>
      <c r="B2127" s="680"/>
    </row>
    <row r="2128" spans="1:2">
      <c r="A2128" s="126"/>
      <c r="B2128" s="680"/>
    </row>
    <row r="2129" spans="1:2">
      <c r="A2129" s="126"/>
      <c r="B2129" s="680"/>
    </row>
    <row r="2130" spans="1:2">
      <c r="A2130" s="126"/>
      <c r="B2130" s="680"/>
    </row>
    <row r="2131" spans="1:2">
      <c r="A2131" s="126"/>
      <c r="B2131" s="680"/>
    </row>
    <row r="2132" spans="1:2">
      <c r="A2132" s="126"/>
      <c r="B2132" s="680"/>
    </row>
    <row r="2133" spans="1:2">
      <c r="A2133" s="126"/>
      <c r="B2133" s="680"/>
    </row>
    <row r="2134" spans="1:2">
      <c r="A2134" s="126"/>
      <c r="B2134" s="680"/>
    </row>
    <row r="2135" spans="1:2">
      <c r="A2135" s="126"/>
      <c r="B2135" s="680"/>
    </row>
    <row r="2136" spans="1:2">
      <c r="A2136" s="126"/>
      <c r="B2136" s="680"/>
    </row>
    <row r="2137" spans="1:2">
      <c r="A2137" s="126"/>
      <c r="B2137" s="680"/>
    </row>
    <row r="2138" spans="1:2">
      <c r="A2138" s="126"/>
      <c r="B2138" s="680"/>
    </row>
    <row r="2139" spans="1:2">
      <c r="A2139" s="126"/>
      <c r="B2139" s="680"/>
    </row>
    <row r="2140" spans="1:2">
      <c r="A2140" s="126"/>
      <c r="B2140" s="680"/>
    </row>
    <row r="2141" spans="1:2">
      <c r="A2141" s="126"/>
      <c r="B2141" s="680"/>
    </row>
    <row r="2142" spans="1:2">
      <c r="A2142" s="126"/>
      <c r="B2142" s="680"/>
    </row>
    <row r="2143" spans="1:2">
      <c r="A2143" s="126"/>
      <c r="B2143" s="680"/>
    </row>
    <row r="2144" spans="1:2">
      <c r="A2144" s="126"/>
      <c r="B2144" s="680"/>
    </row>
    <row r="2145" spans="1:2">
      <c r="A2145" s="126"/>
      <c r="B2145" s="680"/>
    </row>
    <row r="2146" spans="1:2">
      <c r="A2146" s="126"/>
      <c r="B2146" s="680"/>
    </row>
    <row r="2147" spans="1:2">
      <c r="A2147" s="126"/>
      <c r="B2147" s="680"/>
    </row>
    <row r="2148" spans="1:2">
      <c r="A2148" s="126"/>
      <c r="B2148" s="680"/>
    </row>
    <row r="2149" spans="1:2">
      <c r="A2149" s="126"/>
      <c r="B2149" s="680"/>
    </row>
    <row r="2150" spans="1:2">
      <c r="A2150" s="126"/>
      <c r="B2150" s="680"/>
    </row>
    <row r="2151" spans="1:2">
      <c r="A2151" s="126"/>
      <c r="B2151" s="680"/>
    </row>
    <row r="2152" spans="1:2">
      <c r="A2152" s="126"/>
      <c r="B2152" s="680"/>
    </row>
    <row r="2153" spans="1:2">
      <c r="A2153" s="126"/>
      <c r="B2153" s="680"/>
    </row>
    <row r="2154" spans="1:2">
      <c r="A2154" s="126"/>
      <c r="B2154" s="680"/>
    </row>
    <row r="2155" spans="1:2">
      <c r="A2155" s="126"/>
      <c r="B2155" s="680"/>
    </row>
    <row r="2156" spans="1:2">
      <c r="A2156" s="126"/>
      <c r="B2156" s="680"/>
    </row>
    <row r="2157" spans="1:2">
      <c r="A2157" s="126"/>
      <c r="B2157" s="680"/>
    </row>
    <row r="2158" spans="1:2">
      <c r="A2158" s="126"/>
      <c r="B2158" s="680"/>
    </row>
    <row r="2159" spans="1:2">
      <c r="A2159" s="126"/>
      <c r="B2159" s="680"/>
    </row>
    <row r="2160" spans="1:2">
      <c r="A2160" s="126"/>
      <c r="B2160" s="680"/>
    </row>
    <row r="2161" spans="1:2">
      <c r="A2161" s="126"/>
      <c r="B2161" s="680"/>
    </row>
    <row r="2162" spans="1:2">
      <c r="A2162" s="126"/>
      <c r="B2162" s="680"/>
    </row>
    <row r="2163" spans="1:2">
      <c r="A2163" s="126"/>
      <c r="B2163" s="680"/>
    </row>
    <row r="2164" spans="1:2">
      <c r="A2164" s="126"/>
      <c r="B2164" s="680"/>
    </row>
    <row r="2165" spans="1:2">
      <c r="A2165" s="126"/>
      <c r="B2165" s="680"/>
    </row>
    <row r="2166" spans="1:2">
      <c r="A2166" s="126"/>
      <c r="B2166" s="680"/>
    </row>
    <row r="2167" spans="1:2">
      <c r="A2167" s="126"/>
      <c r="B2167" s="680"/>
    </row>
    <row r="2168" spans="1:2">
      <c r="A2168" s="126"/>
      <c r="B2168" s="680"/>
    </row>
    <row r="2169" spans="1:2">
      <c r="A2169" s="126"/>
      <c r="B2169" s="680"/>
    </row>
    <row r="2170" spans="1:2">
      <c r="A2170" s="126"/>
      <c r="B2170" s="680"/>
    </row>
    <row r="2171" spans="1:2">
      <c r="A2171" s="126"/>
      <c r="B2171" s="680"/>
    </row>
    <row r="2172" spans="1:2">
      <c r="A2172" s="126"/>
      <c r="B2172" s="680"/>
    </row>
    <row r="2173" spans="1:2">
      <c r="A2173" s="126"/>
      <c r="B2173" s="680"/>
    </row>
    <row r="2174" spans="1:2">
      <c r="A2174" s="126"/>
      <c r="B2174" s="680"/>
    </row>
    <row r="2175" spans="1:2">
      <c r="A2175" s="126"/>
      <c r="B2175" s="680"/>
    </row>
    <row r="2176" spans="1:2">
      <c r="A2176" s="126"/>
      <c r="B2176" s="680"/>
    </row>
    <row r="2177" spans="1:2">
      <c r="A2177" s="126"/>
      <c r="B2177" s="680"/>
    </row>
    <row r="2178" spans="1:2">
      <c r="A2178" s="126"/>
      <c r="B2178" s="680"/>
    </row>
    <row r="2179" spans="1:2">
      <c r="A2179" s="126"/>
      <c r="B2179" s="680"/>
    </row>
    <row r="2180" spans="1:2">
      <c r="A2180" s="126"/>
      <c r="B2180" s="680"/>
    </row>
    <row r="2181" spans="1:2">
      <c r="A2181" s="126"/>
      <c r="B2181" s="680"/>
    </row>
    <row r="2182" spans="1:2">
      <c r="A2182" s="126"/>
      <c r="B2182" s="680"/>
    </row>
    <row r="2183" spans="1:2">
      <c r="A2183" s="126"/>
      <c r="B2183" s="680"/>
    </row>
    <row r="2184" spans="1:2">
      <c r="A2184" s="126"/>
      <c r="B2184" s="680"/>
    </row>
    <row r="2185" spans="1:2">
      <c r="A2185" s="126"/>
      <c r="B2185" s="680"/>
    </row>
    <row r="2186" spans="1:2">
      <c r="A2186" s="126"/>
      <c r="B2186" s="680"/>
    </row>
    <row r="2187" spans="1:2">
      <c r="A2187" s="126"/>
      <c r="B2187" s="680"/>
    </row>
    <row r="2188" spans="1:2">
      <c r="A2188" s="126"/>
      <c r="B2188" s="680"/>
    </row>
    <row r="2189" spans="1:2">
      <c r="A2189" s="126"/>
      <c r="B2189" s="680"/>
    </row>
    <row r="2190" spans="1:2">
      <c r="A2190" s="126"/>
      <c r="B2190" s="680"/>
    </row>
    <row r="2191" spans="1:2">
      <c r="A2191" s="126"/>
      <c r="B2191" s="680"/>
    </row>
    <row r="2192" spans="1:2">
      <c r="A2192" s="126"/>
      <c r="B2192" s="680"/>
    </row>
    <row r="2193" spans="1:2">
      <c r="A2193" s="126"/>
      <c r="B2193" s="680"/>
    </row>
    <row r="2194" spans="1:2">
      <c r="A2194" s="126"/>
      <c r="B2194" s="680"/>
    </row>
    <row r="2195" spans="1:2">
      <c r="A2195" s="126"/>
      <c r="B2195" s="680"/>
    </row>
    <row r="2196" spans="1:2">
      <c r="A2196" s="126"/>
      <c r="B2196" s="680"/>
    </row>
    <row r="2197" spans="1:2">
      <c r="A2197" s="126"/>
      <c r="B2197" s="680"/>
    </row>
    <row r="2198" spans="1:2">
      <c r="A2198" s="126"/>
      <c r="B2198" s="680"/>
    </row>
    <row r="2199" spans="1:2">
      <c r="A2199" s="126"/>
      <c r="B2199" s="680"/>
    </row>
    <row r="2200" spans="1:2">
      <c r="A2200" s="126"/>
      <c r="B2200" s="680"/>
    </row>
    <row r="2201" spans="1:2">
      <c r="A2201" s="126"/>
      <c r="B2201" s="680"/>
    </row>
    <row r="2202" spans="1:2">
      <c r="A2202" s="126"/>
      <c r="B2202" s="680"/>
    </row>
    <row r="2203" spans="1:2">
      <c r="A2203" s="126"/>
      <c r="B2203" s="680"/>
    </row>
    <row r="2204" spans="1:2">
      <c r="A2204" s="126"/>
      <c r="B2204" s="680"/>
    </row>
    <row r="2205" spans="1:2">
      <c r="A2205" s="126"/>
      <c r="B2205" s="680"/>
    </row>
    <row r="2206" spans="1:2">
      <c r="A2206" s="126"/>
      <c r="B2206" s="680"/>
    </row>
    <row r="2207" spans="1:2">
      <c r="A2207" s="126"/>
      <c r="B2207" s="680"/>
    </row>
    <row r="2208" spans="1:2">
      <c r="A2208" s="126"/>
      <c r="B2208" s="680"/>
    </row>
    <row r="2209" spans="1:2">
      <c r="A2209" s="126"/>
      <c r="B2209" s="680"/>
    </row>
    <row r="2210" spans="1:2">
      <c r="A2210" s="126"/>
      <c r="B2210" s="680"/>
    </row>
    <row r="2211" spans="1:2">
      <c r="A2211" s="126"/>
      <c r="B2211" s="680"/>
    </row>
    <row r="2212" spans="1:2">
      <c r="A2212" s="126"/>
      <c r="B2212" s="680"/>
    </row>
    <row r="2213" spans="1:2">
      <c r="A2213" s="126"/>
      <c r="B2213" s="680"/>
    </row>
    <row r="2214" spans="1:2">
      <c r="A2214" s="126"/>
      <c r="B2214" s="680"/>
    </row>
    <row r="2215" spans="1:2">
      <c r="A2215" s="126"/>
      <c r="B2215" s="680"/>
    </row>
    <row r="2216" spans="1:2">
      <c r="A2216" s="126"/>
      <c r="B2216" s="680"/>
    </row>
    <row r="2217" spans="1:2">
      <c r="A2217" s="126"/>
      <c r="B2217" s="680"/>
    </row>
    <row r="2218" spans="1:2">
      <c r="A2218" s="126"/>
      <c r="B2218" s="680"/>
    </row>
    <row r="2219" spans="1:2">
      <c r="A2219" s="126"/>
      <c r="B2219" s="680"/>
    </row>
    <row r="2220" spans="1:2">
      <c r="A2220" s="126"/>
      <c r="B2220" s="680"/>
    </row>
    <row r="2221" spans="1:2">
      <c r="A2221" s="126"/>
      <c r="B2221" s="680"/>
    </row>
    <row r="2222" spans="1:2">
      <c r="A2222" s="126"/>
      <c r="B2222" s="680"/>
    </row>
    <row r="2223" spans="1:2">
      <c r="A2223" s="126"/>
      <c r="B2223" s="680"/>
    </row>
    <row r="2224" spans="1:2">
      <c r="A2224" s="126"/>
      <c r="B2224" s="680"/>
    </row>
    <row r="2225" spans="1:2">
      <c r="A2225" s="126"/>
      <c r="B2225" s="680"/>
    </row>
    <row r="2226" spans="1:2">
      <c r="A2226" s="126"/>
      <c r="B2226" s="680"/>
    </row>
    <row r="2227" spans="1:2">
      <c r="A2227" s="126"/>
      <c r="B2227" s="680"/>
    </row>
    <row r="2228" spans="1:2">
      <c r="A2228" s="126"/>
      <c r="B2228" s="680"/>
    </row>
    <row r="2229" spans="1:2">
      <c r="A2229" s="126"/>
      <c r="B2229" s="680"/>
    </row>
    <row r="2230" spans="1:2">
      <c r="A2230" s="126"/>
      <c r="B2230" s="680"/>
    </row>
    <row r="2231" spans="1:2">
      <c r="A2231" s="126"/>
      <c r="B2231" s="680"/>
    </row>
    <row r="2232" spans="1:2">
      <c r="A2232" s="126"/>
      <c r="B2232" s="680"/>
    </row>
    <row r="2233" spans="1:2">
      <c r="A2233" s="126"/>
      <c r="B2233" s="680"/>
    </row>
    <row r="2234" spans="1:2">
      <c r="A2234" s="126"/>
      <c r="B2234" s="680"/>
    </row>
    <row r="2235" spans="1:2">
      <c r="A2235" s="126"/>
      <c r="B2235" s="680"/>
    </row>
    <row r="2236" spans="1:2">
      <c r="A2236" s="126"/>
      <c r="B2236" s="680"/>
    </row>
    <row r="2237" spans="1:2">
      <c r="A2237" s="126"/>
      <c r="B2237" s="680"/>
    </row>
    <row r="2238" spans="1:2">
      <c r="A2238" s="126"/>
      <c r="B2238" s="680"/>
    </row>
    <row r="2239" spans="1:2">
      <c r="A2239" s="126"/>
      <c r="B2239" s="680"/>
    </row>
    <row r="2240" spans="1:2">
      <c r="A2240" s="126"/>
      <c r="B2240" s="680"/>
    </row>
    <row r="2241" spans="1:2">
      <c r="A2241" s="126"/>
      <c r="B2241" s="680"/>
    </row>
    <row r="2242" spans="1:2">
      <c r="A2242" s="126"/>
      <c r="B2242" s="680"/>
    </row>
    <row r="2243" spans="1:2">
      <c r="A2243" s="126"/>
      <c r="B2243" s="680"/>
    </row>
    <row r="2244" spans="1:2">
      <c r="A2244" s="126"/>
      <c r="B2244" s="680"/>
    </row>
    <row r="2245" spans="1:2">
      <c r="A2245" s="126"/>
      <c r="B2245" s="680"/>
    </row>
    <row r="2246" spans="1:2">
      <c r="A2246" s="126"/>
      <c r="B2246" s="680"/>
    </row>
    <row r="2247" spans="1:2">
      <c r="A2247" s="126"/>
      <c r="B2247" s="680"/>
    </row>
    <row r="2248" spans="1:2">
      <c r="A2248" s="126"/>
      <c r="B2248" s="680"/>
    </row>
    <row r="2249" spans="1:2">
      <c r="A2249" s="126"/>
      <c r="B2249" s="680"/>
    </row>
    <row r="2250" spans="1:2">
      <c r="A2250" s="126"/>
      <c r="B2250" s="680"/>
    </row>
    <row r="2251" spans="1:2">
      <c r="A2251" s="126"/>
      <c r="B2251" s="680"/>
    </row>
    <row r="2252" spans="1:2">
      <c r="A2252" s="126"/>
      <c r="B2252" s="680"/>
    </row>
    <row r="2253" spans="1:2">
      <c r="A2253" s="126"/>
      <c r="B2253" s="680"/>
    </row>
    <row r="2254" spans="1:2">
      <c r="A2254" s="126"/>
      <c r="B2254" s="680"/>
    </row>
    <row r="2255" spans="1:2">
      <c r="A2255" s="126"/>
      <c r="B2255" s="680"/>
    </row>
    <row r="2256" spans="1:2">
      <c r="A2256" s="126"/>
      <c r="B2256" s="680"/>
    </row>
    <row r="2257" spans="1:2">
      <c r="A2257" s="126"/>
      <c r="B2257" s="680"/>
    </row>
    <row r="2258" spans="1:2">
      <c r="A2258" s="126"/>
      <c r="B2258" s="680"/>
    </row>
    <row r="2259" spans="1:2">
      <c r="A2259" s="126"/>
      <c r="B2259" s="680"/>
    </row>
    <row r="2260" spans="1:2">
      <c r="A2260" s="126"/>
      <c r="B2260" s="680"/>
    </row>
    <row r="2261" spans="1:2">
      <c r="A2261" s="126"/>
      <c r="B2261" s="680"/>
    </row>
    <row r="2262" spans="1:2">
      <c r="A2262" s="126"/>
      <c r="B2262" s="680"/>
    </row>
    <row r="2263" spans="1:2">
      <c r="A2263" s="126"/>
      <c r="B2263" s="680"/>
    </row>
    <row r="2264" spans="1:2">
      <c r="A2264" s="126"/>
      <c r="B2264" s="680"/>
    </row>
    <row r="2265" spans="1:2">
      <c r="A2265" s="126"/>
      <c r="B2265" s="680"/>
    </row>
    <row r="2266" spans="1:2">
      <c r="A2266" s="126"/>
      <c r="B2266" s="680"/>
    </row>
    <row r="2267" spans="1:2">
      <c r="A2267" s="126"/>
      <c r="B2267" s="680"/>
    </row>
    <row r="2268" spans="1:2">
      <c r="A2268" s="126"/>
      <c r="B2268" s="680"/>
    </row>
    <row r="2269" spans="1:2">
      <c r="A2269" s="126"/>
      <c r="B2269" s="680"/>
    </row>
    <row r="2270" spans="1:2">
      <c r="A2270" s="126"/>
      <c r="B2270" s="680"/>
    </row>
    <row r="2271" spans="1:2">
      <c r="A2271" s="126"/>
      <c r="B2271" s="680"/>
    </row>
    <row r="2272" spans="1:2">
      <c r="A2272" s="126"/>
      <c r="B2272" s="680"/>
    </row>
    <row r="2273" spans="1:2">
      <c r="A2273" s="126"/>
      <c r="B2273" s="680"/>
    </row>
    <row r="2274" spans="1:2">
      <c r="A2274" s="126"/>
      <c r="B2274" s="680"/>
    </row>
    <row r="2275" spans="1:2">
      <c r="A2275" s="126"/>
      <c r="B2275" s="680"/>
    </row>
    <row r="2276" spans="1:2">
      <c r="A2276" s="126"/>
      <c r="B2276" s="680"/>
    </row>
    <row r="2277" spans="1:2">
      <c r="A2277" s="126"/>
      <c r="B2277" s="680"/>
    </row>
    <row r="2278" spans="1:2">
      <c r="A2278" s="126"/>
      <c r="B2278" s="680"/>
    </row>
    <row r="2279" spans="1:2">
      <c r="A2279" s="126"/>
      <c r="B2279" s="680"/>
    </row>
    <row r="2280" spans="1:2">
      <c r="A2280" s="126"/>
      <c r="B2280" s="680"/>
    </row>
    <row r="2281" spans="1:2">
      <c r="A2281" s="126"/>
      <c r="B2281" s="680"/>
    </row>
    <row r="2282" spans="1:2">
      <c r="A2282" s="126"/>
      <c r="B2282" s="680"/>
    </row>
    <row r="2283" spans="1:2">
      <c r="A2283" s="126"/>
      <c r="B2283" s="680"/>
    </row>
    <row r="2284" spans="1:2">
      <c r="A2284" s="126"/>
      <c r="B2284" s="680"/>
    </row>
    <row r="2285" spans="1:2">
      <c r="A2285" s="126"/>
      <c r="B2285" s="680"/>
    </row>
    <row r="2286" spans="1:2">
      <c r="A2286" s="126"/>
      <c r="B2286" s="680"/>
    </row>
    <row r="2287" spans="1:2">
      <c r="A2287" s="126"/>
      <c r="B2287" s="680"/>
    </row>
    <row r="2288" spans="1:2">
      <c r="A2288" s="126"/>
      <c r="B2288" s="680"/>
    </row>
    <row r="2289" spans="1:2">
      <c r="A2289" s="126"/>
      <c r="B2289" s="680"/>
    </row>
    <row r="2290" spans="1:2">
      <c r="A2290" s="126"/>
      <c r="B2290" s="680"/>
    </row>
    <row r="2291" spans="1:2">
      <c r="A2291" s="126"/>
      <c r="B2291" s="680"/>
    </row>
    <row r="2292" spans="1:2">
      <c r="A2292" s="126"/>
      <c r="B2292" s="680"/>
    </row>
    <row r="2293" spans="1:2">
      <c r="A2293" s="126"/>
      <c r="B2293" s="680"/>
    </row>
    <row r="2294" spans="1:2">
      <c r="A2294" s="126"/>
      <c r="B2294" s="680"/>
    </row>
    <row r="2295" spans="1:2">
      <c r="A2295" s="126"/>
      <c r="B2295" s="680"/>
    </row>
    <row r="2296" spans="1:2">
      <c r="A2296" s="126"/>
      <c r="B2296" s="680"/>
    </row>
    <row r="2297" spans="1:2">
      <c r="A2297" s="126"/>
      <c r="B2297" s="680"/>
    </row>
    <row r="2298" spans="1:2">
      <c r="A2298" s="126"/>
      <c r="B2298" s="680"/>
    </row>
    <row r="2299" spans="1:2">
      <c r="A2299" s="126"/>
      <c r="B2299" s="680"/>
    </row>
    <row r="2300" spans="1:2">
      <c r="A2300" s="126"/>
      <c r="B2300" s="680"/>
    </row>
    <row r="2301" spans="1:2">
      <c r="A2301" s="126"/>
      <c r="B2301" s="680"/>
    </row>
    <row r="2302" spans="1:2">
      <c r="A2302" s="126"/>
      <c r="B2302" s="680"/>
    </row>
    <row r="2303" spans="1:2">
      <c r="A2303" s="126"/>
      <c r="B2303" s="680"/>
    </row>
    <row r="2304" spans="1:2">
      <c r="A2304" s="126"/>
      <c r="B2304" s="680"/>
    </row>
    <row r="2305" spans="1:2">
      <c r="A2305" s="126"/>
      <c r="B2305" s="680"/>
    </row>
    <row r="2306" spans="1:2">
      <c r="A2306" s="126"/>
      <c r="B2306" s="680"/>
    </row>
    <row r="2307" spans="1:2">
      <c r="A2307" s="126"/>
      <c r="B2307" s="680"/>
    </row>
    <row r="2308" spans="1:2">
      <c r="A2308" s="126"/>
      <c r="B2308" s="680"/>
    </row>
    <row r="2309" spans="1:2">
      <c r="A2309" s="126"/>
      <c r="B2309" s="680"/>
    </row>
    <row r="2310" spans="1:2">
      <c r="A2310" s="126"/>
      <c r="B2310" s="680"/>
    </row>
    <row r="2311" spans="1:2">
      <c r="A2311" s="126"/>
      <c r="B2311" s="680"/>
    </row>
    <row r="2312" spans="1:2">
      <c r="A2312" s="126"/>
      <c r="B2312" s="680"/>
    </row>
    <row r="2313" spans="1:2">
      <c r="A2313" s="126"/>
      <c r="B2313" s="680"/>
    </row>
    <row r="2314" spans="1:2">
      <c r="A2314" s="126"/>
      <c r="B2314" s="680"/>
    </row>
    <row r="2315" spans="1:2">
      <c r="A2315" s="126"/>
      <c r="B2315" s="680"/>
    </row>
    <row r="2316" spans="1:2">
      <c r="A2316" s="126"/>
      <c r="B2316" s="680"/>
    </row>
    <row r="2317" spans="1:2">
      <c r="A2317" s="126"/>
      <c r="B2317" s="680"/>
    </row>
    <row r="2318" spans="1:2">
      <c r="A2318" s="126"/>
      <c r="B2318" s="680"/>
    </row>
    <row r="2319" spans="1:2">
      <c r="A2319" s="126"/>
      <c r="B2319" s="680"/>
    </row>
    <row r="2320" spans="1:2">
      <c r="A2320" s="126"/>
      <c r="B2320" s="680"/>
    </row>
    <row r="2321" spans="1:2">
      <c r="A2321" s="126"/>
      <c r="B2321" s="680"/>
    </row>
    <row r="2322" spans="1:2">
      <c r="A2322" s="126"/>
      <c r="B2322" s="680"/>
    </row>
    <row r="2323" spans="1:2">
      <c r="A2323" s="126"/>
      <c r="B2323" s="680"/>
    </row>
    <row r="2324" spans="1:2">
      <c r="A2324" s="126"/>
      <c r="B2324" s="680"/>
    </row>
    <row r="2325" spans="1:2">
      <c r="A2325" s="126"/>
      <c r="B2325" s="680"/>
    </row>
    <row r="2326" spans="1:2">
      <c r="A2326" s="126"/>
      <c r="B2326" s="680"/>
    </row>
    <row r="2327" spans="1:2">
      <c r="A2327" s="126"/>
      <c r="B2327" s="680"/>
    </row>
    <row r="2328" spans="1:2">
      <c r="A2328" s="126"/>
      <c r="B2328" s="680"/>
    </row>
    <row r="2329" spans="1:2">
      <c r="A2329" s="126"/>
      <c r="B2329" s="680"/>
    </row>
    <row r="2330" spans="1:2">
      <c r="A2330" s="126"/>
      <c r="B2330" s="680"/>
    </row>
    <row r="2331" spans="1:2">
      <c r="A2331" s="126"/>
      <c r="B2331" s="680"/>
    </row>
    <row r="2332" spans="1:2">
      <c r="A2332" s="126"/>
      <c r="B2332" s="680"/>
    </row>
    <row r="2333" spans="1:2">
      <c r="A2333" s="126"/>
      <c r="B2333" s="680"/>
    </row>
    <row r="2334" spans="1:2">
      <c r="A2334" s="126"/>
      <c r="B2334" s="680"/>
    </row>
    <row r="2335" spans="1:2">
      <c r="A2335" s="126"/>
      <c r="B2335" s="680"/>
    </row>
    <row r="2336" spans="1:2">
      <c r="A2336" s="126"/>
      <c r="B2336" s="680"/>
    </row>
    <row r="2337" spans="1:2">
      <c r="A2337" s="126"/>
      <c r="B2337" s="680"/>
    </row>
    <row r="2338" spans="1:2">
      <c r="A2338" s="126"/>
      <c r="B2338" s="680"/>
    </row>
    <row r="2339" spans="1:2">
      <c r="A2339" s="126"/>
      <c r="B2339" s="680"/>
    </row>
    <row r="2340" spans="1:2">
      <c r="A2340" s="126"/>
      <c r="B2340" s="680"/>
    </row>
    <row r="2341" spans="1:2">
      <c r="A2341" s="126"/>
      <c r="B2341" s="680"/>
    </row>
    <row r="2342" spans="1:2">
      <c r="A2342" s="126"/>
      <c r="B2342" s="680"/>
    </row>
    <row r="2343" spans="1:2">
      <c r="A2343" s="126"/>
      <c r="B2343" s="680"/>
    </row>
    <row r="2344" spans="1:2">
      <c r="A2344" s="126"/>
      <c r="B2344" s="680"/>
    </row>
    <row r="2345" spans="1:2">
      <c r="A2345" s="126"/>
      <c r="B2345" s="680"/>
    </row>
    <row r="2346" spans="1:2">
      <c r="A2346" s="126"/>
      <c r="B2346" s="680"/>
    </row>
    <row r="2347" spans="1:2">
      <c r="A2347" s="126"/>
      <c r="B2347" s="680"/>
    </row>
    <row r="2348" spans="1:2">
      <c r="A2348" s="126"/>
      <c r="B2348" s="680"/>
    </row>
    <row r="2349" spans="1:2">
      <c r="A2349" s="126"/>
      <c r="B2349" s="680"/>
    </row>
    <row r="2350" spans="1:2">
      <c r="A2350" s="126"/>
      <c r="B2350" s="680"/>
    </row>
    <row r="2351" spans="1:2">
      <c r="A2351" s="126"/>
      <c r="B2351" s="680"/>
    </row>
    <row r="2352" spans="1:2">
      <c r="A2352" s="126"/>
      <c r="B2352" s="680"/>
    </row>
    <row r="2353" spans="1:2">
      <c r="A2353" s="126"/>
      <c r="B2353" s="680"/>
    </row>
    <row r="2354" spans="1:2">
      <c r="A2354" s="126"/>
      <c r="B2354" s="680"/>
    </row>
    <row r="2355" spans="1:2">
      <c r="A2355" s="126"/>
      <c r="B2355" s="680"/>
    </row>
    <row r="2356" spans="1:2">
      <c r="A2356" s="126"/>
      <c r="B2356" s="680"/>
    </row>
    <row r="2357" spans="1:2">
      <c r="A2357" s="126"/>
      <c r="B2357" s="680"/>
    </row>
    <row r="2358" spans="1:2">
      <c r="A2358" s="126"/>
      <c r="B2358" s="680"/>
    </row>
    <row r="2359" spans="1:2">
      <c r="A2359" s="126"/>
      <c r="B2359" s="680"/>
    </row>
    <row r="2360" spans="1:2">
      <c r="A2360" s="126"/>
      <c r="B2360" s="680"/>
    </row>
    <row r="2361" spans="1:2">
      <c r="A2361" s="126"/>
      <c r="B2361" s="680"/>
    </row>
    <row r="2362" spans="1:2">
      <c r="A2362" s="126"/>
      <c r="B2362" s="680"/>
    </row>
    <row r="2363" spans="1:2">
      <c r="A2363" s="126"/>
      <c r="B2363" s="680"/>
    </row>
    <row r="2364" spans="1:2">
      <c r="A2364" s="126"/>
      <c r="B2364" s="680"/>
    </row>
    <row r="2365" spans="1:2">
      <c r="A2365" s="126"/>
      <c r="B2365" s="680"/>
    </row>
    <row r="2366" spans="1:2">
      <c r="A2366" s="126"/>
      <c r="B2366" s="680"/>
    </row>
    <row r="2367" spans="1:2">
      <c r="A2367" s="126"/>
      <c r="B2367" s="680"/>
    </row>
    <row r="2368" spans="1:2">
      <c r="A2368" s="126"/>
      <c r="B2368" s="680"/>
    </row>
    <row r="2369" spans="1:2">
      <c r="A2369" s="126"/>
      <c r="B2369" s="680"/>
    </row>
    <row r="2370" spans="1:2">
      <c r="A2370" s="126"/>
      <c r="B2370" s="680"/>
    </row>
    <row r="2371" spans="1:2">
      <c r="A2371" s="126"/>
      <c r="B2371" s="680"/>
    </row>
    <row r="2372" spans="1:2">
      <c r="A2372" s="126"/>
      <c r="B2372" s="680"/>
    </row>
    <row r="2373" spans="1:2">
      <c r="A2373" s="126"/>
      <c r="B2373" s="680"/>
    </row>
    <row r="2374" spans="1:2">
      <c r="A2374" s="126"/>
      <c r="B2374" s="680"/>
    </row>
    <row r="2375" spans="1:2">
      <c r="A2375" s="126"/>
      <c r="B2375" s="680"/>
    </row>
    <row r="2376" spans="1:2">
      <c r="A2376" s="126"/>
      <c r="B2376" s="680"/>
    </row>
    <row r="2377" spans="1:2">
      <c r="A2377" s="126"/>
      <c r="B2377" s="680"/>
    </row>
    <row r="2378" spans="1:2">
      <c r="A2378" s="126"/>
      <c r="B2378" s="680"/>
    </row>
    <row r="2379" spans="1:2">
      <c r="A2379" s="126"/>
      <c r="B2379" s="680"/>
    </row>
    <row r="2380" spans="1:2">
      <c r="A2380" s="126"/>
      <c r="B2380" s="680"/>
    </row>
    <row r="2381" spans="1:2">
      <c r="A2381" s="126"/>
      <c r="B2381" s="680"/>
    </row>
    <row r="2382" spans="1:2">
      <c r="A2382" s="126"/>
      <c r="B2382" s="680"/>
    </row>
    <row r="2383" spans="1:2">
      <c r="A2383" s="126"/>
      <c r="B2383" s="680"/>
    </row>
    <row r="2384" spans="1:2">
      <c r="A2384" s="126"/>
      <c r="B2384" s="680"/>
    </row>
    <row r="2385" spans="1:2">
      <c r="A2385" s="126"/>
      <c r="B2385" s="680"/>
    </row>
    <row r="2386" spans="1:2">
      <c r="A2386" s="126"/>
      <c r="B2386" s="680"/>
    </row>
    <row r="2387" spans="1:2">
      <c r="A2387" s="126"/>
      <c r="B2387" s="680"/>
    </row>
    <row r="2388" spans="1:2">
      <c r="A2388" s="126"/>
      <c r="B2388" s="680"/>
    </row>
    <row r="2389" spans="1:2">
      <c r="A2389" s="126"/>
      <c r="B2389" s="680"/>
    </row>
    <row r="2390" spans="1:2">
      <c r="A2390" s="126"/>
      <c r="B2390" s="680"/>
    </row>
    <row r="2391" spans="1:2">
      <c r="A2391" s="126"/>
      <c r="B2391" s="680"/>
    </row>
    <row r="2392" spans="1:2">
      <c r="A2392" s="126"/>
      <c r="B2392" s="680"/>
    </row>
    <row r="2393" spans="1:2">
      <c r="A2393" s="126"/>
      <c r="B2393" s="680"/>
    </row>
    <row r="2394" spans="1:2">
      <c r="A2394" s="126"/>
      <c r="B2394" s="680"/>
    </row>
    <row r="2395" spans="1:2">
      <c r="A2395" s="126"/>
      <c r="B2395" s="680"/>
    </row>
    <row r="2396" spans="1:2">
      <c r="A2396" s="126"/>
      <c r="B2396" s="680"/>
    </row>
    <row r="2397" spans="1:2">
      <c r="A2397" s="126"/>
      <c r="B2397" s="680"/>
    </row>
    <row r="2398" spans="1:2">
      <c r="A2398" s="126"/>
      <c r="B2398" s="680"/>
    </row>
    <row r="2399" spans="1:2">
      <c r="A2399" s="126"/>
      <c r="B2399" s="680"/>
    </row>
    <row r="2400" spans="1:2">
      <c r="A2400" s="126"/>
      <c r="B2400" s="680"/>
    </row>
    <row r="2401" spans="1:2">
      <c r="A2401" s="126"/>
      <c r="B2401" s="680"/>
    </row>
    <row r="2402" spans="1:2">
      <c r="A2402" s="126"/>
      <c r="B2402" s="680"/>
    </row>
    <row r="2403" spans="1:2">
      <c r="A2403" s="126"/>
      <c r="B2403" s="680"/>
    </row>
    <row r="2404" spans="1:2">
      <c r="A2404" s="126"/>
      <c r="B2404" s="680"/>
    </row>
    <row r="2405" spans="1:2">
      <c r="A2405" s="126"/>
      <c r="B2405" s="680"/>
    </row>
    <row r="2406" spans="1:2">
      <c r="A2406" s="126"/>
      <c r="B2406" s="680"/>
    </row>
    <row r="2407" spans="1:2">
      <c r="A2407" s="126"/>
      <c r="B2407" s="680"/>
    </row>
    <row r="2408" spans="1:2">
      <c r="A2408" s="126"/>
      <c r="B2408" s="680"/>
    </row>
    <row r="2409" spans="1:2">
      <c r="A2409" s="126"/>
      <c r="B2409" s="680"/>
    </row>
    <row r="2410" spans="1:2">
      <c r="A2410" s="126"/>
      <c r="B2410" s="680"/>
    </row>
    <row r="2411" spans="1:2">
      <c r="A2411" s="126"/>
      <c r="B2411" s="680"/>
    </row>
    <row r="2412" spans="1:2">
      <c r="A2412" s="126"/>
      <c r="B2412" s="680"/>
    </row>
    <row r="2413" spans="1:2">
      <c r="A2413" s="126"/>
      <c r="B2413" s="680"/>
    </row>
    <row r="2414" spans="1:2">
      <c r="A2414" s="126"/>
      <c r="B2414" s="680"/>
    </row>
    <row r="2415" spans="1:2">
      <c r="A2415" s="126"/>
      <c r="B2415" s="680"/>
    </row>
    <row r="2416" spans="1:2">
      <c r="A2416" s="126"/>
      <c r="B2416" s="680"/>
    </row>
    <row r="2417" spans="1:2">
      <c r="A2417" s="126"/>
      <c r="B2417" s="680"/>
    </row>
    <row r="2418" spans="1:2">
      <c r="A2418" s="126"/>
      <c r="B2418" s="680"/>
    </row>
    <row r="2419" spans="1:2">
      <c r="A2419" s="126"/>
      <c r="B2419" s="680"/>
    </row>
    <row r="2420" spans="1:2">
      <c r="A2420" s="126"/>
      <c r="B2420" s="680"/>
    </row>
    <row r="2421" spans="1:2">
      <c r="A2421" s="126"/>
      <c r="B2421" s="680"/>
    </row>
    <row r="2422" spans="1:2">
      <c r="A2422" s="126"/>
      <c r="B2422" s="680"/>
    </row>
    <row r="2423" spans="1:2">
      <c r="A2423" s="126"/>
      <c r="B2423" s="680"/>
    </row>
    <row r="2424" spans="1:2">
      <c r="A2424" s="126"/>
      <c r="B2424" s="680"/>
    </row>
    <row r="2425" spans="1:2">
      <c r="A2425" s="126"/>
      <c r="B2425" s="680"/>
    </row>
    <row r="2426" spans="1:2">
      <c r="A2426" s="126"/>
      <c r="B2426" s="680"/>
    </row>
    <row r="2427" spans="1:2">
      <c r="A2427" s="126"/>
      <c r="B2427" s="680"/>
    </row>
    <row r="2428" spans="1:2">
      <c r="A2428" s="126"/>
      <c r="B2428" s="680"/>
    </row>
    <row r="2429" spans="1:2">
      <c r="A2429" s="126"/>
      <c r="B2429" s="680"/>
    </row>
    <row r="2430" spans="1:2">
      <c r="A2430" s="126"/>
      <c r="B2430" s="680"/>
    </row>
    <row r="2431" spans="1:2">
      <c r="A2431" s="126"/>
      <c r="B2431" s="680"/>
    </row>
    <row r="2432" spans="1:2">
      <c r="A2432" s="126"/>
      <c r="B2432" s="680"/>
    </row>
    <row r="2433" spans="1:2">
      <c r="A2433" s="126"/>
      <c r="B2433" s="680"/>
    </row>
    <row r="2434" spans="1:2">
      <c r="A2434" s="126"/>
      <c r="B2434" s="680"/>
    </row>
    <row r="2435" spans="1:2">
      <c r="A2435" s="126"/>
      <c r="B2435" s="680"/>
    </row>
    <row r="2436" spans="1:2">
      <c r="A2436" s="126"/>
      <c r="B2436" s="680"/>
    </row>
    <row r="2437" spans="1:2">
      <c r="A2437" s="126"/>
      <c r="B2437" s="680"/>
    </row>
    <row r="2438" spans="1:2">
      <c r="A2438" s="126"/>
      <c r="B2438" s="680"/>
    </row>
    <row r="2439" spans="1:2">
      <c r="A2439" s="126"/>
      <c r="B2439" s="680"/>
    </row>
    <row r="2440" spans="1:2">
      <c r="A2440" s="126"/>
      <c r="B2440" s="680"/>
    </row>
    <row r="2441" spans="1:2">
      <c r="A2441" s="126"/>
      <c r="B2441" s="680"/>
    </row>
    <row r="2442" spans="1:2">
      <c r="A2442" s="126"/>
      <c r="B2442" s="680"/>
    </row>
    <row r="2443" spans="1:2">
      <c r="A2443" s="126"/>
      <c r="B2443" s="680"/>
    </row>
    <row r="2444" spans="1:2">
      <c r="A2444" s="126"/>
      <c r="B2444" s="680"/>
    </row>
    <row r="2445" spans="1:2">
      <c r="A2445" s="126"/>
      <c r="B2445" s="680"/>
    </row>
    <row r="2446" spans="1:2">
      <c r="A2446" s="126"/>
      <c r="B2446" s="680"/>
    </row>
    <row r="2447" spans="1:2">
      <c r="A2447" s="126"/>
      <c r="B2447" s="680"/>
    </row>
    <row r="2448" spans="1:2">
      <c r="A2448" s="126"/>
      <c r="B2448" s="680"/>
    </row>
    <row r="2449" spans="1:2">
      <c r="A2449" s="126"/>
      <c r="B2449" s="680"/>
    </row>
    <row r="2450" spans="1:2">
      <c r="A2450" s="126"/>
      <c r="B2450" s="680"/>
    </row>
    <row r="2451" spans="1:2">
      <c r="A2451" s="126"/>
      <c r="B2451" s="680"/>
    </row>
    <row r="2452" spans="1:2">
      <c r="A2452" s="126"/>
      <c r="B2452" s="680"/>
    </row>
    <row r="2453" spans="1:2">
      <c r="A2453" s="126"/>
      <c r="B2453" s="680"/>
    </row>
    <row r="2454" spans="1:2">
      <c r="A2454" s="126"/>
      <c r="B2454" s="680"/>
    </row>
    <row r="2455" spans="1:2">
      <c r="A2455" s="126"/>
      <c r="B2455" s="680"/>
    </row>
    <row r="2456" spans="1:2">
      <c r="A2456" s="126"/>
      <c r="B2456" s="680"/>
    </row>
    <row r="2457" spans="1:2">
      <c r="A2457" s="126"/>
      <c r="B2457" s="680"/>
    </row>
    <row r="2458" spans="1:2">
      <c r="A2458" s="126"/>
      <c r="B2458" s="680"/>
    </row>
    <row r="2459" spans="1:2">
      <c r="A2459" s="126"/>
      <c r="B2459" s="680"/>
    </row>
    <row r="2460" spans="1:2">
      <c r="A2460" s="126"/>
      <c r="B2460" s="680"/>
    </row>
    <row r="2461" spans="1:2">
      <c r="A2461" s="126"/>
      <c r="B2461" s="680"/>
    </row>
    <row r="2462" spans="1:2">
      <c r="A2462" s="126"/>
      <c r="B2462" s="680"/>
    </row>
    <row r="2463" spans="1:2">
      <c r="A2463" s="126"/>
      <c r="B2463" s="680"/>
    </row>
    <row r="2464" spans="1:2">
      <c r="A2464" s="126"/>
      <c r="B2464" s="680"/>
    </row>
    <row r="2465" spans="1:2">
      <c r="A2465" s="126"/>
      <c r="B2465" s="680"/>
    </row>
    <row r="2466" spans="1:2">
      <c r="A2466" s="126"/>
      <c r="B2466" s="680"/>
    </row>
    <row r="2467" spans="1:2">
      <c r="A2467" s="126"/>
      <c r="B2467" s="680"/>
    </row>
    <row r="2468" spans="1:2">
      <c r="A2468" s="126"/>
      <c r="B2468" s="680"/>
    </row>
    <row r="2469" spans="1:2">
      <c r="A2469" s="126"/>
      <c r="B2469" s="680"/>
    </row>
    <row r="2470" spans="1:2">
      <c r="A2470" s="126"/>
      <c r="B2470" s="680"/>
    </row>
    <row r="2471" spans="1:2">
      <c r="A2471" s="126"/>
      <c r="B2471" s="680"/>
    </row>
    <row r="2472" spans="1:2">
      <c r="A2472" s="126"/>
      <c r="B2472" s="680"/>
    </row>
    <row r="2473" spans="1:2">
      <c r="A2473" s="126"/>
      <c r="B2473" s="680"/>
    </row>
    <row r="2474" spans="1:2">
      <c r="A2474" s="126"/>
      <c r="B2474" s="680"/>
    </row>
    <row r="2475" spans="1:2">
      <c r="A2475" s="126"/>
      <c r="B2475" s="680"/>
    </row>
    <row r="2476" spans="1:2">
      <c r="A2476" s="126"/>
      <c r="B2476" s="680"/>
    </row>
    <row r="2477" spans="1:2">
      <c r="A2477" s="126"/>
      <c r="B2477" s="680"/>
    </row>
    <row r="2478" spans="1:2">
      <c r="A2478" s="126"/>
      <c r="B2478" s="680"/>
    </row>
    <row r="2479" spans="1:2">
      <c r="A2479" s="126"/>
      <c r="B2479" s="680"/>
    </row>
    <row r="2480" spans="1:2">
      <c r="A2480" s="126"/>
      <c r="B2480" s="680"/>
    </row>
    <row r="2481" spans="1:2">
      <c r="A2481" s="126"/>
      <c r="B2481" s="680"/>
    </row>
    <row r="2482" spans="1:2">
      <c r="A2482" s="126"/>
      <c r="B2482" s="680"/>
    </row>
    <row r="2483" spans="1:2">
      <c r="A2483" s="126"/>
      <c r="B2483" s="680"/>
    </row>
    <row r="2484" spans="1:2">
      <c r="A2484" s="126"/>
      <c r="B2484" s="680"/>
    </row>
    <row r="2485" spans="1:2">
      <c r="A2485" s="126"/>
      <c r="B2485" s="680"/>
    </row>
    <row r="2486" spans="1:2">
      <c r="A2486" s="126"/>
      <c r="B2486" s="680"/>
    </row>
    <row r="2487" spans="1:2">
      <c r="A2487" s="126"/>
      <c r="B2487" s="680"/>
    </row>
    <row r="2488" spans="1:2">
      <c r="A2488" s="126"/>
      <c r="B2488" s="680"/>
    </row>
    <row r="2489" spans="1:2">
      <c r="A2489" s="126"/>
      <c r="B2489" s="680"/>
    </row>
    <row r="2490" spans="1:2">
      <c r="A2490" s="126"/>
      <c r="B2490" s="680"/>
    </row>
    <row r="2491" spans="1:2">
      <c r="A2491" s="126"/>
      <c r="B2491" s="680"/>
    </row>
    <row r="2492" spans="1:2">
      <c r="A2492" s="126"/>
      <c r="B2492" s="680"/>
    </row>
    <row r="2493" spans="1:2">
      <c r="A2493" s="126"/>
      <c r="B2493" s="680"/>
    </row>
    <row r="2494" spans="1:2">
      <c r="A2494" s="126"/>
      <c r="B2494" s="680"/>
    </row>
    <row r="2495" spans="1:2">
      <c r="A2495" s="126"/>
      <c r="B2495" s="680"/>
    </row>
    <row r="2496" spans="1:2">
      <c r="A2496" s="126"/>
      <c r="B2496" s="680"/>
    </row>
    <row r="2497" spans="1:2">
      <c r="A2497" s="126"/>
      <c r="B2497" s="680"/>
    </row>
    <row r="2498" spans="1:2">
      <c r="A2498" s="126"/>
      <c r="B2498" s="680"/>
    </row>
    <row r="2499" spans="1:2">
      <c r="A2499" s="126"/>
      <c r="B2499" s="680"/>
    </row>
    <row r="2500" spans="1:2">
      <c r="A2500" s="126"/>
      <c r="B2500" s="680"/>
    </row>
    <row r="2501" spans="1:2">
      <c r="A2501" s="126"/>
      <c r="B2501" s="680"/>
    </row>
    <row r="2502" spans="1:2">
      <c r="A2502" s="126"/>
      <c r="B2502" s="680"/>
    </row>
    <row r="2503" spans="1:2">
      <c r="A2503" s="126"/>
      <c r="B2503" s="680"/>
    </row>
    <row r="2504" spans="1:2">
      <c r="A2504" s="126"/>
      <c r="B2504" s="680"/>
    </row>
    <row r="2505" spans="1:2">
      <c r="A2505" s="126"/>
      <c r="B2505" s="680"/>
    </row>
    <row r="2506" spans="1:2">
      <c r="A2506" s="126"/>
      <c r="B2506" s="680"/>
    </row>
    <row r="2507" spans="1:2">
      <c r="A2507" s="126"/>
      <c r="B2507" s="680"/>
    </row>
    <row r="2508" spans="1:2">
      <c r="A2508" s="126"/>
      <c r="B2508" s="680"/>
    </row>
    <row r="2509" spans="1:2">
      <c r="A2509" s="126"/>
      <c r="B2509" s="680"/>
    </row>
    <row r="2510" spans="1:2">
      <c r="A2510" s="126"/>
      <c r="B2510" s="680"/>
    </row>
    <row r="2511" spans="1:2">
      <c r="A2511" s="126"/>
      <c r="B2511" s="680"/>
    </row>
    <row r="2512" spans="1:2">
      <c r="A2512" s="126"/>
      <c r="B2512" s="680"/>
    </row>
    <row r="2513" spans="1:2">
      <c r="A2513" s="126"/>
      <c r="B2513" s="680"/>
    </row>
    <row r="2514" spans="1:2">
      <c r="A2514" s="126"/>
      <c r="B2514" s="680"/>
    </row>
    <row r="2515" spans="1:2">
      <c r="A2515" s="126"/>
      <c r="B2515" s="680"/>
    </row>
    <row r="2516" spans="1:2">
      <c r="A2516" s="126"/>
      <c r="B2516" s="680"/>
    </row>
    <row r="2517" spans="1:2">
      <c r="A2517" s="126"/>
      <c r="B2517" s="680"/>
    </row>
    <row r="2518" spans="1:2">
      <c r="A2518" s="126"/>
      <c r="B2518" s="680"/>
    </row>
    <row r="2519" spans="1:2">
      <c r="A2519" s="126"/>
      <c r="B2519" s="680"/>
    </row>
    <row r="2520" spans="1:2">
      <c r="A2520" s="126"/>
      <c r="B2520" s="680"/>
    </row>
    <row r="2521" spans="1:2">
      <c r="A2521" s="126"/>
      <c r="B2521" s="680"/>
    </row>
    <row r="2522" spans="1:2">
      <c r="A2522" s="126"/>
      <c r="B2522" s="680"/>
    </row>
    <row r="2523" spans="1:2">
      <c r="A2523" s="126"/>
      <c r="B2523" s="680"/>
    </row>
    <row r="2524" spans="1:2">
      <c r="A2524" s="126"/>
      <c r="B2524" s="680"/>
    </row>
    <row r="2525" spans="1:2">
      <c r="A2525" s="126"/>
      <c r="B2525" s="680"/>
    </row>
    <row r="2526" spans="1:2">
      <c r="A2526" s="126"/>
      <c r="B2526" s="680"/>
    </row>
    <row r="2527" spans="1:2">
      <c r="A2527" s="126"/>
      <c r="B2527" s="680"/>
    </row>
    <row r="2528" spans="1:2">
      <c r="A2528" s="126"/>
      <c r="B2528" s="680"/>
    </row>
    <row r="2529" spans="1:2">
      <c r="A2529" s="126"/>
      <c r="B2529" s="680"/>
    </row>
    <row r="2530" spans="1:2">
      <c r="A2530" s="126"/>
      <c r="B2530" s="680"/>
    </row>
    <row r="2531" spans="1:2">
      <c r="A2531" s="126"/>
      <c r="B2531" s="680"/>
    </row>
    <row r="2532" spans="1:2">
      <c r="A2532" s="126"/>
      <c r="B2532" s="680"/>
    </row>
    <row r="2533" spans="1:2">
      <c r="A2533" s="126"/>
      <c r="B2533" s="680"/>
    </row>
    <row r="2534" spans="1:2">
      <c r="A2534" s="126"/>
      <c r="B2534" s="680"/>
    </row>
    <row r="2535" spans="1:2">
      <c r="A2535" s="126"/>
      <c r="B2535" s="680"/>
    </row>
    <row r="2536" spans="1:2">
      <c r="A2536" s="126"/>
      <c r="B2536" s="680"/>
    </row>
    <row r="2537" spans="1:2">
      <c r="A2537" s="126"/>
      <c r="B2537" s="680"/>
    </row>
    <row r="2538" spans="1:2">
      <c r="A2538" s="126"/>
      <c r="B2538" s="680"/>
    </row>
    <row r="2539" spans="1:2">
      <c r="A2539" s="126"/>
      <c r="B2539" s="680"/>
    </row>
    <row r="2540" spans="1:2">
      <c r="A2540" s="126"/>
      <c r="B2540" s="680"/>
    </row>
    <row r="2541" spans="1:2">
      <c r="A2541" s="126"/>
      <c r="B2541" s="680"/>
    </row>
    <row r="2542" spans="1:2">
      <c r="A2542" s="126"/>
      <c r="B2542" s="680"/>
    </row>
    <row r="2543" spans="1:2">
      <c r="A2543" s="126"/>
      <c r="B2543" s="680"/>
    </row>
    <row r="2544" spans="1:2">
      <c r="A2544" s="126"/>
      <c r="B2544" s="680"/>
    </row>
    <row r="2545" spans="1:2">
      <c r="A2545" s="126"/>
      <c r="B2545" s="680"/>
    </row>
    <row r="2546" spans="1:2">
      <c r="A2546" s="126"/>
      <c r="B2546" s="680"/>
    </row>
    <row r="2547" spans="1:2">
      <c r="A2547" s="126"/>
      <c r="B2547" s="680"/>
    </row>
    <row r="2548" spans="1:2">
      <c r="A2548" s="126"/>
      <c r="B2548" s="680"/>
    </row>
    <row r="2549" spans="1:2">
      <c r="A2549" s="126"/>
      <c r="B2549" s="680"/>
    </row>
    <row r="2550" spans="1:2">
      <c r="A2550" s="126"/>
      <c r="B2550" s="680"/>
    </row>
    <row r="2551" spans="1:2">
      <c r="A2551" s="126"/>
      <c r="B2551" s="680"/>
    </row>
    <row r="2552" spans="1:2">
      <c r="A2552" s="126"/>
      <c r="B2552" s="680"/>
    </row>
    <row r="2553" spans="1:2">
      <c r="A2553" s="126"/>
      <c r="B2553" s="680"/>
    </row>
    <row r="2554" spans="1:2">
      <c r="A2554" s="126"/>
      <c r="B2554" s="680"/>
    </row>
    <row r="2555" spans="1:2">
      <c r="A2555" s="126"/>
      <c r="B2555" s="680"/>
    </row>
    <row r="2556" spans="1:2">
      <c r="A2556" s="126"/>
      <c r="B2556" s="680"/>
    </row>
    <row r="2557" spans="1:2">
      <c r="A2557" s="126"/>
      <c r="B2557" s="680"/>
    </row>
    <row r="2558" spans="1:2">
      <c r="A2558" s="126"/>
      <c r="B2558" s="680"/>
    </row>
    <row r="2559" spans="1:2">
      <c r="A2559" s="126"/>
      <c r="B2559" s="680"/>
    </row>
    <row r="2560" spans="1:2">
      <c r="A2560" s="126"/>
      <c r="B2560" s="680"/>
    </row>
    <row r="2561" spans="1:2">
      <c r="A2561" s="126"/>
      <c r="B2561" s="680"/>
    </row>
    <row r="2562" spans="1:2">
      <c r="A2562" s="126"/>
      <c r="B2562" s="680"/>
    </row>
    <row r="2563" spans="1:2">
      <c r="A2563" s="126"/>
      <c r="B2563" s="680"/>
    </row>
    <row r="2564" spans="1:2">
      <c r="A2564" s="126"/>
      <c r="B2564" s="680"/>
    </row>
    <row r="2565" spans="1:2">
      <c r="A2565" s="126"/>
      <c r="B2565" s="680"/>
    </row>
    <row r="2566" spans="1:2">
      <c r="A2566" s="126"/>
      <c r="B2566" s="680"/>
    </row>
    <row r="2567" spans="1:2">
      <c r="A2567" s="126"/>
      <c r="B2567" s="680"/>
    </row>
    <row r="2568" spans="1:2">
      <c r="A2568" s="126"/>
      <c r="B2568" s="680"/>
    </row>
    <row r="2569" spans="1:2">
      <c r="A2569" s="126"/>
      <c r="B2569" s="680"/>
    </row>
    <row r="2570" spans="1:2">
      <c r="A2570" s="126"/>
      <c r="B2570" s="680"/>
    </row>
    <row r="2571" spans="1:2">
      <c r="A2571" s="126"/>
      <c r="B2571" s="680"/>
    </row>
    <row r="2572" spans="1:2">
      <c r="A2572" s="126"/>
      <c r="B2572" s="680"/>
    </row>
    <row r="2573" spans="1:2">
      <c r="A2573" s="126"/>
      <c r="B2573" s="680"/>
    </row>
    <row r="2574" spans="1:2">
      <c r="A2574" s="126"/>
      <c r="B2574" s="680"/>
    </row>
    <row r="2575" spans="1:2">
      <c r="A2575" s="126"/>
      <c r="B2575" s="680"/>
    </row>
    <row r="2576" spans="1:2">
      <c r="A2576" s="126"/>
      <c r="B2576" s="680"/>
    </row>
    <row r="2577" spans="1:2">
      <c r="A2577" s="126"/>
      <c r="B2577" s="680"/>
    </row>
    <row r="2578" spans="1:2">
      <c r="A2578" s="126"/>
      <c r="B2578" s="680"/>
    </row>
    <row r="2579" spans="1:2">
      <c r="A2579" s="126"/>
      <c r="B2579" s="680"/>
    </row>
    <row r="2580" spans="1:2">
      <c r="A2580" s="126"/>
      <c r="B2580" s="680"/>
    </row>
    <row r="2581" spans="1:2">
      <c r="A2581" s="126"/>
      <c r="B2581" s="680"/>
    </row>
    <row r="2582" spans="1:2">
      <c r="A2582" s="126"/>
      <c r="B2582" s="680"/>
    </row>
    <row r="2583" spans="1:2">
      <c r="A2583" s="126"/>
      <c r="B2583" s="680"/>
    </row>
    <row r="2584" spans="1:2">
      <c r="A2584" s="126"/>
      <c r="B2584" s="680"/>
    </row>
    <row r="2585" spans="1:2">
      <c r="A2585" s="126"/>
      <c r="B2585" s="680"/>
    </row>
    <row r="2586" spans="1:2">
      <c r="A2586" s="126"/>
      <c r="B2586" s="680"/>
    </row>
    <row r="2587" spans="1:2">
      <c r="A2587" s="126"/>
      <c r="B2587" s="680"/>
    </row>
    <row r="2588" spans="1:2">
      <c r="A2588" s="126"/>
      <c r="B2588" s="680"/>
    </row>
    <row r="2589" spans="1:2">
      <c r="A2589" s="126"/>
      <c r="B2589" s="680"/>
    </row>
    <row r="2590" spans="1:2">
      <c r="A2590" s="126"/>
      <c r="B2590" s="680"/>
    </row>
    <row r="2591" spans="1:2">
      <c r="A2591" s="126"/>
      <c r="B2591" s="680"/>
    </row>
    <row r="2592" spans="1:2">
      <c r="A2592" s="126"/>
      <c r="B2592" s="680"/>
    </row>
    <row r="2593" spans="1:2">
      <c r="A2593" s="126"/>
      <c r="B2593" s="680"/>
    </row>
    <row r="2594" spans="1:2">
      <c r="A2594" s="126"/>
      <c r="B2594" s="680"/>
    </row>
    <row r="2595" spans="1:2">
      <c r="A2595" s="126"/>
      <c r="B2595" s="680"/>
    </row>
    <row r="2596" spans="1:2">
      <c r="A2596" s="126"/>
      <c r="B2596" s="680"/>
    </row>
    <row r="2597" spans="1:2">
      <c r="A2597" s="126"/>
      <c r="B2597" s="680"/>
    </row>
    <row r="2598" spans="1:2">
      <c r="A2598" s="126"/>
      <c r="B2598" s="680"/>
    </row>
    <row r="2599" spans="1:2">
      <c r="A2599" s="126"/>
      <c r="B2599" s="680"/>
    </row>
    <row r="2600" spans="1:2">
      <c r="A2600" s="126"/>
      <c r="B2600" s="680"/>
    </row>
    <row r="2601" spans="1:2">
      <c r="A2601" s="126"/>
      <c r="B2601" s="680"/>
    </row>
    <row r="2602" spans="1:2">
      <c r="A2602" s="126"/>
      <c r="B2602" s="680"/>
    </row>
    <row r="2603" spans="1:2">
      <c r="A2603" s="126"/>
      <c r="B2603" s="680"/>
    </row>
    <row r="2604" spans="1:2">
      <c r="A2604" s="126"/>
      <c r="B2604" s="680"/>
    </row>
    <row r="2605" spans="1:2">
      <c r="A2605" s="126"/>
      <c r="B2605" s="680"/>
    </row>
    <row r="2606" spans="1:2">
      <c r="A2606" s="126"/>
      <c r="B2606" s="680"/>
    </row>
    <row r="2607" spans="1:2">
      <c r="A2607" s="126"/>
      <c r="B2607" s="680"/>
    </row>
    <row r="2608" spans="1:2">
      <c r="A2608" s="126"/>
      <c r="B2608" s="680"/>
    </row>
    <row r="2609" spans="1:2">
      <c r="A2609" s="126"/>
      <c r="B2609" s="680"/>
    </row>
    <row r="2610" spans="1:2">
      <c r="A2610" s="126"/>
      <c r="B2610" s="680"/>
    </row>
    <row r="2611" spans="1:2">
      <c r="A2611" s="126"/>
      <c r="B2611" s="680"/>
    </row>
    <row r="2612" spans="1:2">
      <c r="A2612" s="126"/>
      <c r="B2612" s="680"/>
    </row>
    <row r="2613" spans="1:2">
      <c r="A2613" s="126"/>
      <c r="B2613" s="680"/>
    </row>
    <row r="2614" spans="1:2">
      <c r="A2614" s="126"/>
      <c r="B2614" s="680"/>
    </row>
    <row r="2615" spans="1:2">
      <c r="A2615" s="126"/>
      <c r="B2615" s="680"/>
    </row>
    <row r="2616" spans="1:2">
      <c r="A2616" s="126"/>
      <c r="B2616" s="680"/>
    </row>
    <row r="2617" spans="1:2">
      <c r="A2617" s="126"/>
      <c r="B2617" s="680"/>
    </row>
    <row r="2618" spans="1:2">
      <c r="A2618" s="126"/>
      <c r="B2618" s="680"/>
    </row>
    <row r="2619" spans="1:2">
      <c r="A2619" s="126"/>
      <c r="B2619" s="680"/>
    </row>
    <row r="2620" spans="1:2">
      <c r="A2620" s="126"/>
      <c r="B2620" s="680"/>
    </row>
    <row r="2621" spans="1:2">
      <c r="A2621" s="126"/>
      <c r="B2621" s="680"/>
    </row>
    <row r="2622" spans="1:2">
      <c r="A2622" s="126"/>
      <c r="B2622" s="680"/>
    </row>
    <row r="2623" spans="1:2">
      <c r="A2623" s="126"/>
      <c r="B2623" s="680"/>
    </row>
    <row r="2624" spans="1:2">
      <c r="A2624" s="126"/>
      <c r="B2624" s="680"/>
    </row>
    <row r="2625" spans="1:2">
      <c r="A2625" s="126"/>
      <c r="B2625" s="680"/>
    </row>
    <row r="2626" spans="1:2">
      <c r="A2626" s="126"/>
      <c r="B2626" s="680"/>
    </row>
    <row r="2627" spans="1:2">
      <c r="A2627" s="126"/>
      <c r="B2627" s="680"/>
    </row>
    <row r="2628" spans="1:2">
      <c r="A2628" s="126"/>
      <c r="B2628" s="680"/>
    </row>
    <row r="2629" spans="1:2">
      <c r="A2629" s="126"/>
      <c r="B2629" s="680"/>
    </row>
    <row r="2630" spans="1:2">
      <c r="A2630" s="126"/>
      <c r="B2630" s="680"/>
    </row>
    <row r="2631" spans="1:2">
      <c r="A2631" s="126"/>
      <c r="B2631" s="680"/>
    </row>
    <row r="2632" spans="1:2">
      <c r="A2632" s="126"/>
      <c r="B2632" s="680"/>
    </row>
    <row r="2633" spans="1:2">
      <c r="A2633" s="126"/>
      <c r="B2633" s="680"/>
    </row>
    <row r="2634" spans="1:2">
      <c r="A2634" s="126"/>
      <c r="B2634" s="680"/>
    </row>
    <row r="2635" spans="1:2">
      <c r="A2635" s="126"/>
      <c r="B2635" s="680"/>
    </row>
    <row r="2636" spans="1:2">
      <c r="A2636" s="126"/>
      <c r="B2636" s="680"/>
    </row>
    <row r="2637" spans="1:2">
      <c r="A2637" s="126"/>
      <c r="B2637" s="680"/>
    </row>
    <row r="2638" spans="1:2">
      <c r="A2638" s="126"/>
      <c r="B2638" s="680"/>
    </row>
    <row r="2639" spans="1:2">
      <c r="A2639" s="126"/>
      <c r="B2639" s="680"/>
    </row>
    <row r="2640" spans="1:2">
      <c r="A2640" s="126"/>
      <c r="B2640" s="680"/>
    </row>
    <row r="2641" spans="1:2">
      <c r="A2641" s="126"/>
      <c r="B2641" s="680"/>
    </row>
    <row r="2642" spans="1:2">
      <c r="A2642" s="126"/>
      <c r="B2642" s="680"/>
    </row>
    <row r="2643" spans="1:2">
      <c r="A2643" s="126"/>
      <c r="B2643" s="680"/>
    </row>
    <row r="2644" spans="1:2">
      <c r="A2644" s="126"/>
      <c r="B2644" s="680"/>
    </row>
    <row r="2645" spans="1:2">
      <c r="A2645" s="126"/>
      <c r="B2645" s="680"/>
    </row>
    <row r="2646" spans="1:2">
      <c r="A2646" s="126"/>
      <c r="B2646" s="680"/>
    </row>
    <row r="2647" spans="1:2">
      <c r="A2647" s="126"/>
      <c r="B2647" s="680"/>
    </row>
    <row r="2648" spans="1:2">
      <c r="A2648" s="126"/>
      <c r="B2648" s="680"/>
    </row>
    <row r="2649" spans="1:2">
      <c r="A2649" s="126"/>
      <c r="B2649" s="680"/>
    </row>
    <row r="2650" spans="1:2">
      <c r="A2650" s="126"/>
      <c r="B2650" s="680"/>
    </row>
    <row r="2651" spans="1:2">
      <c r="A2651" s="126"/>
      <c r="B2651" s="680"/>
    </row>
    <row r="2652" spans="1:2">
      <c r="A2652" s="126"/>
      <c r="B2652" s="680"/>
    </row>
    <row r="2653" spans="1:2">
      <c r="A2653" s="126"/>
      <c r="B2653" s="680"/>
    </row>
    <row r="2654" spans="1:2">
      <c r="A2654" s="126"/>
      <c r="B2654" s="680"/>
    </row>
    <row r="2655" spans="1:2">
      <c r="A2655" s="126"/>
      <c r="B2655" s="680"/>
    </row>
    <row r="2656" spans="1:2">
      <c r="A2656" s="126"/>
      <c r="B2656" s="680"/>
    </row>
    <row r="2657" spans="1:2">
      <c r="A2657" s="126"/>
      <c r="B2657" s="680"/>
    </row>
    <row r="2658" spans="1:2">
      <c r="A2658" s="126"/>
      <c r="B2658" s="680"/>
    </row>
    <row r="2659" spans="1:2">
      <c r="A2659" s="126"/>
      <c r="B2659" s="680"/>
    </row>
    <row r="2660" spans="1:2">
      <c r="A2660" s="126"/>
      <c r="B2660" s="680"/>
    </row>
    <row r="2661" spans="1:2">
      <c r="A2661" s="126"/>
      <c r="B2661" s="680"/>
    </row>
    <row r="2662" spans="1:2">
      <c r="A2662" s="126"/>
      <c r="B2662" s="680"/>
    </row>
    <row r="2663" spans="1:2">
      <c r="A2663" s="126"/>
      <c r="B2663" s="680"/>
    </row>
    <row r="2664" spans="1:2">
      <c r="A2664" s="126"/>
      <c r="B2664" s="680"/>
    </row>
    <row r="2665" spans="1:2">
      <c r="A2665" s="126"/>
      <c r="B2665" s="680"/>
    </row>
    <row r="2666" spans="1:2">
      <c r="A2666" s="126"/>
      <c r="B2666" s="680"/>
    </row>
    <row r="2667" spans="1:2">
      <c r="A2667" s="126"/>
      <c r="B2667" s="680"/>
    </row>
    <row r="2668" spans="1:2">
      <c r="A2668" s="126"/>
      <c r="B2668" s="680"/>
    </row>
    <row r="2669" spans="1:2">
      <c r="A2669" s="126"/>
      <c r="B2669" s="680"/>
    </row>
    <row r="2670" spans="1:2">
      <c r="A2670" s="126"/>
      <c r="B2670" s="680"/>
    </row>
    <row r="2671" spans="1:2">
      <c r="A2671" s="126"/>
      <c r="B2671" s="680"/>
    </row>
    <row r="2672" spans="1:2">
      <c r="A2672" s="126"/>
      <c r="B2672" s="680"/>
    </row>
    <row r="2673" spans="1:2">
      <c r="A2673" s="126"/>
      <c r="B2673" s="680"/>
    </row>
    <row r="2674" spans="1:2">
      <c r="A2674" s="126"/>
      <c r="B2674" s="680"/>
    </row>
    <row r="2675" spans="1:2">
      <c r="A2675" s="126"/>
      <c r="B2675" s="680"/>
    </row>
    <row r="2676" spans="1:2">
      <c r="A2676" s="126"/>
      <c r="B2676" s="680"/>
    </row>
    <row r="2677" spans="1:2">
      <c r="A2677" s="126"/>
      <c r="B2677" s="680"/>
    </row>
    <row r="2678" spans="1:2">
      <c r="A2678" s="126"/>
      <c r="B2678" s="680"/>
    </row>
    <row r="2679" spans="1:2">
      <c r="A2679" s="126"/>
      <c r="B2679" s="680"/>
    </row>
    <row r="2680" spans="1:2">
      <c r="A2680" s="126"/>
      <c r="B2680" s="680"/>
    </row>
    <row r="2681" spans="1:2">
      <c r="A2681" s="126"/>
      <c r="B2681" s="680"/>
    </row>
    <row r="2682" spans="1:2">
      <c r="A2682" s="126"/>
      <c r="B2682" s="680"/>
    </row>
    <row r="2683" spans="1:2">
      <c r="A2683" s="126"/>
      <c r="B2683" s="680"/>
    </row>
    <row r="2684" spans="1:2">
      <c r="A2684" s="126"/>
      <c r="B2684" s="680"/>
    </row>
    <row r="2685" spans="1:2">
      <c r="A2685" s="126"/>
      <c r="B2685" s="680"/>
    </row>
    <row r="2686" spans="1:2">
      <c r="A2686" s="126"/>
      <c r="B2686" s="680"/>
    </row>
    <row r="2687" spans="1:2">
      <c r="A2687" s="126"/>
      <c r="B2687" s="680"/>
    </row>
    <row r="2688" spans="1:2">
      <c r="A2688" s="126"/>
      <c r="B2688" s="680"/>
    </row>
    <row r="2689" spans="1:2">
      <c r="A2689" s="126"/>
      <c r="B2689" s="680"/>
    </row>
    <row r="2690" spans="1:2">
      <c r="A2690" s="126"/>
      <c r="B2690" s="680"/>
    </row>
    <row r="2691" spans="1:2">
      <c r="A2691" s="126"/>
      <c r="B2691" s="680"/>
    </row>
    <row r="2692" spans="1:2">
      <c r="A2692" s="126"/>
      <c r="B2692" s="680"/>
    </row>
    <row r="2693" spans="1:2">
      <c r="A2693" s="126"/>
      <c r="B2693" s="680"/>
    </row>
    <row r="2694" spans="1:2">
      <c r="A2694" s="126"/>
      <c r="B2694" s="680"/>
    </row>
    <row r="2695" spans="1:2">
      <c r="A2695" s="126"/>
      <c r="B2695" s="680"/>
    </row>
    <row r="2696" spans="1:2">
      <c r="A2696" s="126"/>
      <c r="B2696" s="680"/>
    </row>
    <row r="2697" spans="1:2">
      <c r="A2697" s="126"/>
      <c r="B2697" s="680"/>
    </row>
    <row r="2698" spans="1:2">
      <c r="A2698" s="126"/>
      <c r="B2698" s="680"/>
    </row>
    <row r="2699" spans="1:2">
      <c r="A2699" s="126"/>
      <c r="B2699" s="680"/>
    </row>
    <row r="2700" spans="1:2">
      <c r="A2700" s="126"/>
      <c r="B2700" s="680"/>
    </row>
    <row r="2701" spans="1:2">
      <c r="A2701" s="126"/>
      <c r="B2701" s="680"/>
    </row>
    <row r="2702" spans="1:2">
      <c r="A2702" s="126"/>
      <c r="B2702" s="680"/>
    </row>
    <row r="2703" spans="1:2">
      <c r="A2703" s="126"/>
      <c r="B2703" s="680"/>
    </row>
    <row r="2704" spans="1:2">
      <c r="A2704" s="126"/>
      <c r="B2704" s="680"/>
    </row>
    <row r="2705" spans="1:2">
      <c r="A2705" s="126"/>
      <c r="B2705" s="680"/>
    </row>
    <row r="2706" spans="1:2">
      <c r="A2706" s="126"/>
      <c r="B2706" s="680"/>
    </row>
    <row r="2707" spans="1:2">
      <c r="A2707" s="126"/>
      <c r="B2707" s="680"/>
    </row>
    <row r="2708" spans="1:2">
      <c r="A2708" s="126"/>
      <c r="B2708" s="680"/>
    </row>
    <row r="2709" spans="1:2">
      <c r="A2709" s="126"/>
      <c r="B2709" s="680"/>
    </row>
    <row r="2710" spans="1:2">
      <c r="A2710" s="126"/>
      <c r="B2710" s="680"/>
    </row>
    <row r="2711" spans="1:2">
      <c r="A2711" s="126"/>
      <c r="B2711" s="680"/>
    </row>
    <row r="2712" spans="1:2">
      <c r="A2712" s="126"/>
      <c r="B2712" s="680"/>
    </row>
    <row r="2713" spans="1:2">
      <c r="A2713" s="126"/>
      <c r="B2713" s="680"/>
    </row>
    <row r="2714" spans="1:2">
      <c r="A2714" s="126"/>
      <c r="B2714" s="680"/>
    </row>
    <row r="2715" spans="1:2">
      <c r="A2715" s="126"/>
      <c r="B2715" s="680"/>
    </row>
    <row r="2716" spans="1:2">
      <c r="A2716" s="126"/>
      <c r="B2716" s="680"/>
    </row>
    <row r="2717" spans="1:2">
      <c r="A2717" s="126"/>
      <c r="B2717" s="680"/>
    </row>
    <row r="2718" spans="1:2">
      <c r="A2718" s="126"/>
      <c r="B2718" s="680"/>
    </row>
    <row r="2719" spans="1:2">
      <c r="A2719" s="126"/>
      <c r="B2719" s="680"/>
    </row>
    <row r="2720" spans="1:2">
      <c r="A2720" s="126"/>
      <c r="B2720" s="680"/>
    </row>
    <row r="2721" spans="1:2">
      <c r="A2721" s="126"/>
      <c r="B2721" s="680"/>
    </row>
    <row r="2722" spans="1:2">
      <c r="A2722" s="126"/>
      <c r="B2722" s="680"/>
    </row>
    <row r="2723" spans="1:2">
      <c r="A2723" s="126"/>
      <c r="B2723" s="680"/>
    </row>
    <row r="2724" spans="1:2">
      <c r="A2724" s="126"/>
      <c r="B2724" s="680"/>
    </row>
    <row r="2725" spans="1:2">
      <c r="A2725" s="126"/>
      <c r="B2725" s="680"/>
    </row>
    <row r="2726" spans="1:2">
      <c r="A2726" s="126"/>
      <c r="B2726" s="680"/>
    </row>
    <row r="2727" spans="1:2">
      <c r="A2727" s="126"/>
      <c r="B2727" s="680"/>
    </row>
    <row r="2728" spans="1:2">
      <c r="A2728" s="126"/>
      <c r="B2728" s="680"/>
    </row>
    <row r="2729" spans="1:2">
      <c r="A2729" s="126"/>
      <c r="B2729" s="680"/>
    </row>
    <row r="2730" spans="1:2">
      <c r="A2730" s="126"/>
      <c r="B2730" s="680"/>
    </row>
    <row r="2731" spans="1:2">
      <c r="A2731" s="126"/>
      <c r="B2731" s="680"/>
    </row>
    <row r="2732" spans="1:2">
      <c r="A2732" s="126"/>
      <c r="B2732" s="680"/>
    </row>
    <row r="2733" spans="1:2">
      <c r="A2733" s="126"/>
      <c r="B2733" s="680"/>
    </row>
    <row r="2734" spans="1:2">
      <c r="A2734" s="126"/>
      <c r="B2734" s="680"/>
    </row>
    <row r="2735" spans="1:2">
      <c r="A2735" s="126"/>
      <c r="B2735" s="680"/>
    </row>
    <row r="2736" spans="1:2">
      <c r="A2736" s="126"/>
      <c r="B2736" s="680"/>
    </row>
    <row r="2737" spans="1:2">
      <c r="A2737" s="126"/>
      <c r="B2737" s="680"/>
    </row>
    <row r="2738" spans="1:2">
      <c r="A2738" s="126"/>
      <c r="B2738" s="680"/>
    </row>
    <row r="2739" spans="1:2">
      <c r="A2739" s="126"/>
      <c r="B2739" s="680"/>
    </row>
    <row r="2740" spans="1:2">
      <c r="A2740" s="126"/>
      <c r="B2740" s="680"/>
    </row>
    <row r="2741" spans="1:2">
      <c r="A2741" s="126"/>
      <c r="B2741" s="680"/>
    </row>
    <row r="2742" spans="1:2">
      <c r="A2742" s="126"/>
      <c r="B2742" s="680"/>
    </row>
    <row r="2743" spans="1:2">
      <c r="A2743" s="126"/>
      <c r="B2743" s="680"/>
    </row>
    <row r="2744" spans="1:2">
      <c r="A2744" s="126"/>
      <c r="B2744" s="680"/>
    </row>
    <row r="2745" spans="1:2">
      <c r="A2745" s="126"/>
      <c r="B2745" s="680"/>
    </row>
    <row r="2746" spans="1:2">
      <c r="A2746" s="126"/>
      <c r="B2746" s="680"/>
    </row>
    <row r="2747" spans="1:2">
      <c r="A2747" s="126"/>
      <c r="B2747" s="680"/>
    </row>
    <row r="2748" spans="1:2">
      <c r="A2748" s="126"/>
      <c r="B2748" s="680"/>
    </row>
    <row r="2749" spans="1:2">
      <c r="A2749" s="126"/>
      <c r="B2749" s="680"/>
    </row>
    <row r="2750" spans="1:2">
      <c r="A2750" s="126"/>
      <c r="B2750" s="680"/>
    </row>
    <row r="2751" spans="1:2">
      <c r="A2751" s="126"/>
      <c r="B2751" s="680"/>
    </row>
    <row r="2752" spans="1:2">
      <c r="A2752" s="126"/>
      <c r="B2752" s="680"/>
    </row>
    <row r="2753" spans="1:2">
      <c r="A2753" s="126"/>
      <c r="B2753" s="680"/>
    </row>
    <row r="2754" spans="1:2">
      <c r="A2754" s="126"/>
      <c r="B2754" s="680"/>
    </row>
    <row r="2755" spans="1:2">
      <c r="A2755" s="126"/>
      <c r="B2755" s="680"/>
    </row>
    <row r="2756" spans="1:2">
      <c r="A2756" s="126"/>
      <c r="B2756" s="680"/>
    </row>
    <row r="2757" spans="1:2">
      <c r="A2757" s="126"/>
      <c r="B2757" s="680"/>
    </row>
    <row r="2758" spans="1:2">
      <c r="A2758" s="126"/>
      <c r="B2758" s="680"/>
    </row>
    <row r="2759" spans="1:2">
      <c r="A2759" s="126"/>
      <c r="B2759" s="680"/>
    </row>
    <row r="2760" spans="1:2">
      <c r="A2760" s="126"/>
      <c r="B2760" s="680"/>
    </row>
    <row r="2761" spans="1:2">
      <c r="A2761" s="126"/>
      <c r="B2761" s="680"/>
    </row>
    <row r="2762" spans="1:2">
      <c r="A2762" s="126"/>
      <c r="B2762" s="680"/>
    </row>
    <row r="2763" spans="1:2">
      <c r="A2763" s="126"/>
      <c r="B2763" s="680"/>
    </row>
    <row r="2764" spans="1:2">
      <c r="A2764" s="126"/>
      <c r="B2764" s="680"/>
    </row>
    <row r="2765" spans="1:2">
      <c r="A2765" s="126"/>
      <c r="B2765" s="680"/>
    </row>
    <row r="2766" spans="1:2">
      <c r="A2766" s="126"/>
      <c r="B2766" s="680"/>
    </row>
    <row r="2767" spans="1:2">
      <c r="A2767" s="126"/>
      <c r="B2767" s="680"/>
    </row>
    <row r="2768" spans="1:2">
      <c r="A2768" s="126"/>
      <c r="B2768" s="680"/>
    </row>
    <row r="2769" spans="1:2">
      <c r="A2769" s="126"/>
      <c r="B2769" s="680"/>
    </row>
    <row r="2770" spans="1:2">
      <c r="A2770" s="126"/>
      <c r="B2770" s="680"/>
    </row>
    <row r="2771" spans="1:2">
      <c r="A2771" s="126"/>
      <c r="B2771" s="680"/>
    </row>
    <row r="2772" spans="1:2">
      <c r="A2772" s="126"/>
      <c r="B2772" s="680"/>
    </row>
    <row r="2773" spans="1:2">
      <c r="A2773" s="126"/>
      <c r="B2773" s="680"/>
    </row>
    <row r="2774" spans="1:2">
      <c r="A2774" s="126"/>
      <c r="B2774" s="680"/>
    </row>
    <row r="2775" spans="1:2">
      <c r="A2775" s="126"/>
      <c r="B2775" s="680"/>
    </row>
    <row r="2776" spans="1:2">
      <c r="A2776" s="126"/>
      <c r="B2776" s="680"/>
    </row>
    <row r="2777" spans="1:2">
      <c r="A2777" s="126"/>
      <c r="B2777" s="680"/>
    </row>
    <row r="2778" spans="1:2">
      <c r="A2778" s="126"/>
      <c r="B2778" s="680"/>
    </row>
    <row r="2779" spans="1:2">
      <c r="A2779" s="126"/>
      <c r="B2779" s="680"/>
    </row>
    <row r="2780" spans="1:2">
      <c r="A2780" s="126"/>
      <c r="B2780" s="680"/>
    </row>
    <row r="2781" spans="1:2">
      <c r="A2781" s="126"/>
      <c r="B2781" s="680"/>
    </row>
    <row r="2782" spans="1:2">
      <c r="A2782" s="126"/>
      <c r="B2782" s="680"/>
    </row>
    <row r="2783" spans="1:2">
      <c r="A2783" s="126"/>
      <c r="B2783" s="680"/>
    </row>
    <row r="2784" spans="1:2">
      <c r="A2784" s="126"/>
      <c r="B2784" s="680"/>
    </row>
    <row r="2785" spans="1:2">
      <c r="A2785" s="126"/>
      <c r="B2785" s="680"/>
    </row>
    <row r="2786" spans="1:2">
      <c r="A2786" s="126"/>
      <c r="B2786" s="680"/>
    </row>
    <row r="2787" spans="1:2">
      <c r="A2787" s="126"/>
      <c r="B2787" s="680"/>
    </row>
    <row r="2788" spans="1:2">
      <c r="A2788" s="126"/>
      <c r="B2788" s="680"/>
    </row>
    <row r="2789" spans="1:2">
      <c r="A2789" s="126"/>
      <c r="B2789" s="680"/>
    </row>
    <row r="2790" spans="1:2">
      <c r="A2790" s="126"/>
      <c r="B2790" s="680"/>
    </row>
    <row r="2791" spans="1:2">
      <c r="A2791" s="126"/>
      <c r="B2791" s="680"/>
    </row>
    <row r="2792" spans="1:2">
      <c r="A2792" s="126"/>
      <c r="B2792" s="680"/>
    </row>
    <row r="2793" spans="1:2">
      <c r="A2793" s="126"/>
      <c r="B2793" s="680"/>
    </row>
    <row r="2794" spans="1:2">
      <c r="A2794" s="126"/>
      <c r="B2794" s="680"/>
    </row>
    <row r="2795" spans="1:2">
      <c r="A2795" s="126"/>
      <c r="B2795" s="680"/>
    </row>
    <row r="2796" spans="1:2">
      <c r="A2796" s="126"/>
      <c r="B2796" s="680"/>
    </row>
    <row r="2797" spans="1:2">
      <c r="A2797" s="126"/>
      <c r="B2797" s="680"/>
    </row>
    <row r="2798" spans="1:2">
      <c r="A2798" s="126"/>
      <c r="B2798" s="680"/>
    </row>
    <row r="2799" spans="1:2">
      <c r="A2799" s="126"/>
      <c r="B2799" s="680"/>
    </row>
    <row r="2800" spans="1:2">
      <c r="A2800" s="126"/>
      <c r="B2800" s="680"/>
    </row>
    <row r="2801" spans="1:2">
      <c r="A2801" s="126"/>
      <c r="B2801" s="680"/>
    </row>
    <row r="2802" spans="1:2">
      <c r="A2802" s="126"/>
      <c r="B2802" s="680"/>
    </row>
    <row r="2803" spans="1:2">
      <c r="A2803" s="126"/>
      <c r="B2803" s="680"/>
    </row>
    <row r="2804" spans="1:2">
      <c r="A2804" s="126"/>
      <c r="B2804" s="680"/>
    </row>
    <row r="2805" spans="1:2">
      <c r="A2805" s="126"/>
      <c r="B2805" s="680"/>
    </row>
    <row r="2806" spans="1:2">
      <c r="A2806" s="126"/>
      <c r="B2806" s="680"/>
    </row>
    <row r="2807" spans="1:2">
      <c r="A2807" s="126"/>
      <c r="B2807" s="680"/>
    </row>
    <row r="2808" spans="1:2">
      <c r="A2808" s="126"/>
      <c r="B2808" s="680"/>
    </row>
    <row r="2809" spans="1:2">
      <c r="A2809" s="126"/>
      <c r="B2809" s="680"/>
    </row>
    <row r="2810" spans="1:2">
      <c r="A2810" s="126"/>
      <c r="B2810" s="680"/>
    </row>
    <row r="2811" spans="1:2">
      <c r="A2811" s="126"/>
      <c r="B2811" s="680"/>
    </row>
    <row r="2812" spans="1:2">
      <c r="A2812" s="126"/>
      <c r="B2812" s="680"/>
    </row>
    <row r="2813" spans="1:2">
      <c r="A2813" s="126"/>
      <c r="B2813" s="680"/>
    </row>
    <row r="2814" spans="1:2">
      <c r="A2814" s="126"/>
      <c r="B2814" s="680"/>
    </row>
    <row r="2815" spans="1:2">
      <c r="A2815" s="126"/>
      <c r="B2815" s="680"/>
    </row>
    <row r="2816" spans="1:2">
      <c r="A2816" s="126"/>
      <c r="B2816" s="680"/>
    </row>
    <row r="2817" spans="1:2">
      <c r="A2817" s="126"/>
      <c r="B2817" s="680"/>
    </row>
    <row r="2818" spans="1:2">
      <c r="A2818" s="126"/>
      <c r="B2818" s="680"/>
    </row>
    <row r="2819" spans="1:2">
      <c r="A2819" s="126"/>
      <c r="B2819" s="680"/>
    </row>
    <row r="2820" spans="1:2">
      <c r="A2820" s="126"/>
      <c r="B2820" s="680"/>
    </row>
    <row r="2821" spans="1:2">
      <c r="A2821" s="126"/>
      <c r="B2821" s="680"/>
    </row>
    <row r="2822" spans="1:2">
      <c r="A2822" s="126"/>
      <c r="B2822" s="680"/>
    </row>
    <row r="2823" spans="1:2">
      <c r="A2823" s="126"/>
      <c r="B2823" s="680"/>
    </row>
    <row r="2824" spans="1:2">
      <c r="A2824" s="126"/>
      <c r="B2824" s="680"/>
    </row>
    <row r="2825" spans="1:2">
      <c r="A2825" s="126"/>
      <c r="B2825" s="680"/>
    </row>
    <row r="2826" spans="1:2">
      <c r="A2826" s="126"/>
      <c r="B2826" s="680"/>
    </row>
    <row r="2827" spans="1:2">
      <c r="A2827" s="126"/>
      <c r="B2827" s="680"/>
    </row>
    <row r="2828" spans="1:2">
      <c r="A2828" s="126"/>
      <c r="B2828" s="680"/>
    </row>
    <row r="2829" spans="1:2">
      <c r="A2829" s="126"/>
      <c r="B2829" s="680"/>
    </row>
    <row r="2830" spans="1:2">
      <c r="A2830" s="126"/>
      <c r="B2830" s="680"/>
    </row>
    <row r="2831" spans="1:2">
      <c r="A2831" s="126"/>
      <c r="B2831" s="680"/>
    </row>
    <row r="2832" spans="1:2">
      <c r="A2832" s="126"/>
      <c r="B2832" s="680"/>
    </row>
    <row r="2833" spans="1:2">
      <c r="A2833" s="126"/>
      <c r="B2833" s="680"/>
    </row>
    <row r="2834" spans="1:2">
      <c r="A2834" s="126"/>
      <c r="B2834" s="680"/>
    </row>
    <row r="2835" spans="1:2">
      <c r="A2835" s="126"/>
      <c r="B2835" s="680"/>
    </row>
    <row r="2836" spans="1:2">
      <c r="A2836" s="126"/>
      <c r="B2836" s="680"/>
    </row>
    <row r="2837" spans="1:2">
      <c r="A2837" s="126"/>
      <c r="B2837" s="680"/>
    </row>
    <row r="2838" spans="1:2">
      <c r="A2838" s="126"/>
      <c r="B2838" s="680"/>
    </row>
    <row r="2839" spans="1:2">
      <c r="A2839" s="126"/>
      <c r="B2839" s="680"/>
    </row>
    <row r="2840" spans="1:2">
      <c r="A2840" s="126"/>
      <c r="B2840" s="680"/>
    </row>
    <row r="2841" spans="1:2">
      <c r="A2841" s="126"/>
      <c r="B2841" s="680"/>
    </row>
    <row r="2842" spans="1:2">
      <c r="A2842" s="126"/>
      <c r="B2842" s="680"/>
    </row>
    <row r="2843" spans="1:2">
      <c r="A2843" s="126"/>
      <c r="B2843" s="680"/>
    </row>
    <row r="2844" spans="1:2">
      <c r="A2844" s="126"/>
      <c r="B2844" s="680"/>
    </row>
    <row r="2845" spans="1:2">
      <c r="A2845" s="126"/>
      <c r="B2845" s="680"/>
    </row>
    <row r="2846" spans="1:2">
      <c r="A2846" s="126"/>
      <c r="B2846" s="680"/>
    </row>
    <row r="2847" spans="1:2">
      <c r="A2847" s="126"/>
      <c r="B2847" s="680"/>
    </row>
    <row r="2848" spans="1:2">
      <c r="A2848" s="126"/>
      <c r="B2848" s="680"/>
    </row>
    <row r="2849" spans="1:2">
      <c r="A2849" s="126"/>
      <c r="B2849" s="680"/>
    </row>
    <row r="2850" spans="1:2">
      <c r="A2850" s="126"/>
      <c r="B2850" s="680"/>
    </row>
    <row r="2851" spans="1:2">
      <c r="A2851" s="126"/>
      <c r="B2851" s="680"/>
    </row>
    <row r="2852" spans="1:2">
      <c r="A2852" s="126"/>
      <c r="B2852" s="680"/>
    </row>
    <row r="2853" spans="1:2">
      <c r="A2853" s="126"/>
      <c r="B2853" s="680"/>
    </row>
    <row r="2854" spans="1:2">
      <c r="A2854" s="126"/>
      <c r="B2854" s="680"/>
    </row>
    <row r="2855" spans="1:2">
      <c r="A2855" s="126"/>
      <c r="B2855" s="680"/>
    </row>
    <row r="2856" spans="1:2">
      <c r="A2856" s="126"/>
      <c r="B2856" s="680"/>
    </row>
    <row r="2857" spans="1:2">
      <c r="A2857" s="126"/>
      <c r="B2857" s="680"/>
    </row>
    <row r="2858" spans="1:2">
      <c r="A2858" s="126"/>
      <c r="B2858" s="680"/>
    </row>
    <row r="2859" spans="1:2">
      <c r="A2859" s="126"/>
      <c r="B2859" s="680"/>
    </row>
    <row r="2860" spans="1:2">
      <c r="A2860" s="126"/>
      <c r="B2860" s="680"/>
    </row>
    <row r="2861" spans="1:2">
      <c r="A2861" s="126"/>
      <c r="B2861" s="680"/>
    </row>
    <row r="2862" spans="1:2">
      <c r="A2862" s="126"/>
      <c r="B2862" s="680"/>
    </row>
    <row r="2863" spans="1:2">
      <c r="A2863" s="126"/>
      <c r="B2863" s="680"/>
    </row>
    <row r="2864" spans="1:2">
      <c r="A2864" s="126"/>
      <c r="B2864" s="680"/>
    </row>
    <row r="2865" spans="1:2">
      <c r="A2865" s="126"/>
      <c r="B2865" s="680"/>
    </row>
    <row r="2866" spans="1:2">
      <c r="A2866" s="126"/>
      <c r="B2866" s="680"/>
    </row>
    <row r="2867" spans="1:2">
      <c r="A2867" s="126"/>
      <c r="B2867" s="680"/>
    </row>
    <row r="2868" spans="1:2">
      <c r="A2868" s="126"/>
      <c r="B2868" s="680"/>
    </row>
    <row r="2869" spans="1:2">
      <c r="A2869" s="126"/>
      <c r="B2869" s="680"/>
    </row>
    <row r="2870" spans="1:2">
      <c r="A2870" s="126"/>
      <c r="B2870" s="680"/>
    </row>
    <row r="2871" spans="1:2">
      <c r="A2871" s="126"/>
      <c r="B2871" s="680"/>
    </row>
    <row r="2872" spans="1:2">
      <c r="A2872" s="126"/>
      <c r="B2872" s="680"/>
    </row>
    <row r="2873" spans="1:2">
      <c r="A2873" s="126"/>
      <c r="B2873" s="680"/>
    </row>
    <row r="2874" spans="1:2">
      <c r="A2874" s="126"/>
      <c r="B2874" s="680"/>
    </row>
    <row r="2875" spans="1:2">
      <c r="A2875" s="126"/>
      <c r="B2875" s="680"/>
    </row>
    <row r="2876" spans="1:2">
      <c r="A2876" s="126"/>
      <c r="B2876" s="680"/>
    </row>
    <row r="2877" spans="1:2">
      <c r="A2877" s="126"/>
      <c r="B2877" s="680"/>
    </row>
    <row r="2878" spans="1:2">
      <c r="A2878" s="126"/>
      <c r="B2878" s="680"/>
    </row>
    <row r="2879" spans="1:2">
      <c r="A2879" s="126"/>
      <c r="B2879" s="680"/>
    </row>
    <row r="2880" spans="1:2">
      <c r="A2880" s="126"/>
      <c r="B2880" s="680"/>
    </row>
    <row r="2881" spans="1:2">
      <c r="A2881" s="126"/>
      <c r="B2881" s="680"/>
    </row>
    <row r="2882" spans="1:2">
      <c r="A2882" s="126"/>
      <c r="B2882" s="680"/>
    </row>
    <row r="2883" spans="1:2">
      <c r="A2883" s="126"/>
      <c r="B2883" s="680"/>
    </row>
    <row r="2884" spans="1:2">
      <c r="A2884" s="126"/>
      <c r="B2884" s="680"/>
    </row>
    <row r="2885" spans="1:2">
      <c r="A2885" s="126"/>
      <c r="B2885" s="680"/>
    </row>
    <row r="2886" spans="1:2">
      <c r="A2886" s="126"/>
      <c r="B2886" s="680"/>
    </row>
    <row r="2887" spans="1:2">
      <c r="A2887" s="126"/>
      <c r="B2887" s="680"/>
    </row>
    <row r="2888" spans="1:2">
      <c r="A2888" s="126"/>
      <c r="B2888" s="680"/>
    </row>
    <row r="2889" spans="1:2">
      <c r="A2889" s="126"/>
      <c r="B2889" s="680"/>
    </row>
    <row r="2890" spans="1:2">
      <c r="A2890" s="126"/>
      <c r="B2890" s="680"/>
    </row>
    <row r="2891" spans="1:2">
      <c r="A2891" s="126"/>
      <c r="B2891" s="680"/>
    </row>
    <row r="2892" spans="1:2">
      <c r="A2892" s="126"/>
      <c r="B2892" s="680"/>
    </row>
    <row r="2893" spans="1:2">
      <c r="A2893" s="126"/>
      <c r="B2893" s="680"/>
    </row>
    <row r="2894" spans="1:2">
      <c r="A2894" s="126"/>
      <c r="B2894" s="680"/>
    </row>
    <row r="2895" spans="1:2">
      <c r="A2895" s="126"/>
      <c r="B2895" s="680"/>
    </row>
    <row r="2896" spans="1:2">
      <c r="A2896" s="126"/>
      <c r="B2896" s="680"/>
    </row>
    <row r="2897" spans="1:2">
      <c r="A2897" s="126"/>
      <c r="B2897" s="680"/>
    </row>
    <row r="2898" spans="1:2">
      <c r="A2898" s="126"/>
      <c r="B2898" s="680"/>
    </row>
    <row r="2899" spans="1:2">
      <c r="A2899" s="126"/>
      <c r="B2899" s="680"/>
    </row>
    <row r="2900" spans="1:2">
      <c r="A2900" s="126"/>
      <c r="B2900" s="680"/>
    </row>
    <row r="2901" spans="1:2">
      <c r="A2901" s="126"/>
      <c r="B2901" s="680"/>
    </row>
    <row r="2902" spans="1:2">
      <c r="A2902" s="126"/>
      <c r="B2902" s="680"/>
    </row>
    <row r="2903" spans="1:2">
      <c r="A2903" s="126"/>
      <c r="B2903" s="680"/>
    </row>
    <row r="2904" spans="1:2">
      <c r="A2904" s="126"/>
      <c r="B2904" s="680"/>
    </row>
    <row r="2905" spans="1:2">
      <c r="A2905" s="126"/>
      <c r="B2905" s="680"/>
    </row>
    <row r="2906" spans="1:2">
      <c r="A2906" s="126"/>
      <c r="B2906" s="680"/>
    </row>
    <row r="2907" spans="1:2">
      <c r="A2907" s="126"/>
      <c r="B2907" s="680"/>
    </row>
    <row r="2908" spans="1:2">
      <c r="A2908" s="126"/>
      <c r="B2908" s="680"/>
    </row>
    <row r="2909" spans="1:2">
      <c r="A2909" s="126"/>
      <c r="B2909" s="680"/>
    </row>
    <row r="2910" spans="1:2">
      <c r="A2910" s="126"/>
      <c r="B2910" s="680"/>
    </row>
    <row r="2911" spans="1:2">
      <c r="A2911" s="126"/>
      <c r="B2911" s="680"/>
    </row>
    <row r="2912" spans="1:2">
      <c r="A2912" s="126"/>
      <c r="B2912" s="680"/>
    </row>
    <row r="2913" spans="1:2">
      <c r="A2913" s="126"/>
      <c r="B2913" s="680"/>
    </row>
    <row r="2914" spans="1:2">
      <c r="A2914" s="126"/>
      <c r="B2914" s="680"/>
    </row>
    <row r="2915" spans="1:2">
      <c r="A2915" s="126"/>
      <c r="B2915" s="680"/>
    </row>
    <row r="2916" spans="1:2">
      <c r="A2916" s="126"/>
      <c r="B2916" s="680"/>
    </row>
    <row r="2917" spans="1:2">
      <c r="A2917" s="126"/>
      <c r="B2917" s="680"/>
    </row>
    <row r="2918" spans="1:2">
      <c r="A2918" s="126"/>
      <c r="B2918" s="680"/>
    </row>
    <row r="2919" spans="1:2">
      <c r="A2919" s="126"/>
      <c r="B2919" s="680"/>
    </row>
    <row r="2920" spans="1:2">
      <c r="A2920" s="126"/>
      <c r="B2920" s="680"/>
    </row>
    <row r="2921" spans="1:2">
      <c r="A2921" s="126"/>
      <c r="B2921" s="680"/>
    </row>
    <row r="2922" spans="1:2">
      <c r="A2922" s="126"/>
      <c r="B2922" s="680"/>
    </row>
    <row r="2923" spans="1:2">
      <c r="A2923" s="126"/>
      <c r="B2923" s="680"/>
    </row>
    <row r="2924" spans="1:2">
      <c r="A2924" s="126"/>
      <c r="B2924" s="680"/>
    </row>
    <row r="2925" spans="1:2">
      <c r="A2925" s="126"/>
      <c r="B2925" s="680"/>
    </row>
    <row r="2926" spans="1:2">
      <c r="A2926" s="126"/>
      <c r="B2926" s="680"/>
    </row>
    <row r="2927" spans="1:2">
      <c r="A2927" s="126"/>
      <c r="B2927" s="680"/>
    </row>
    <row r="2928" spans="1:2">
      <c r="A2928" s="126"/>
      <c r="B2928" s="680"/>
    </row>
    <row r="2929" spans="1:2">
      <c r="A2929" s="126"/>
      <c r="B2929" s="680"/>
    </row>
    <row r="2930" spans="1:2">
      <c r="A2930" s="126"/>
      <c r="B2930" s="680"/>
    </row>
    <row r="2931" spans="1:2">
      <c r="A2931" s="126"/>
      <c r="B2931" s="680"/>
    </row>
    <row r="2932" spans="1:2">
      <c r="A2932" s="126"/>
      <c r="B2932" s="680"/>
    </row>
    <row r="2933" spans="1:2">
      <c r="A2933" s="126"/>
      <c r="B2933" s="680"/>
    </row>
    <row r="2934" spans="1:2">
      <c r="A2934" s="126"/>
      <c r="B2934" s="680"/>
    </row>
    <row r="2935" spans="1:2">
      <c r="A2935" s="126"/>
      <c r="B2935" s="680"/>
    </row>
    <row r="2936" spans="1:2">
      <c r="A2936" s="126"/>
      <c r="B2936" s="680"/>
    </row>
    <row r="2937" spans="1:2">
      <c r="A2937" s="126"/>
      <c r="B2937" s="680"/>
    </row>
    <row r="2938" spans="1:2">
      <c r="A2938" s="126"/>
      <c r="B2938" s="680"/>
    </row>
    <row r="2939" spans="1:2">
      <c r="A2939" s="126"/>
      <c r="B2939" s="680"/>
    </row>
    <row r="2940" spans="1:2">
      <c r="A2940" s="126"/>
      <c r="B2940" s="680"/>
    </row>
    <row r="2941" spans="1:2">
      <c r="A2941" s="126"/>
      <c r="B2941" s="680"/>
    </row>
    <row r="2942" spans="1:2">
      <c r="A2942" s="126"/>
      <c r="B2942" s="680"/>
    </row>
    <row r="2943" spans="1:2">
      <c r="A2943" s="126"/>
      <c r="B2943" s="680"/>
    </row>
    <row r="2944" spans="1:2">
      <c r="A2944" s="126"/>
      <c r="B2944" s="680"/>
    </row>
    <row r="2945" spans="1:2">
      <c r="A2945" s="126"/>
      <c r="B2945" s="680"/>
    </row>
    <row r="2946" spans="1:2">
      <c r="A2946" s="126"/>
      <c r="B2946" s="680"/>
    </row>
    <row r="2947" spans="1:2">
      <c r="A2947" s="126"/>
      <c r="B2947" s="680"/>
    </row>
    <row r="2948" spans="1:2">
      <c r="A2948" s="126"/>
      <c r="B2948" s="680"/>
    </row>
    <row r="2949" spans="1:2">
      <c r="A2949" s="126"/>
      <c r="B2949" s="680"/>
    </row>
    <row r="2950" spans="1:2">
      <c r="A2950" s="126"/>
      <c r="B2950" s="680"/>
    </row>
    <row r="2951" spans="1:2">
      <c r="A2951" s="126"/>
      <c r="B2951" s="680"/>
    </row>
    <row r="2952" spans="1:2">
      <c r="A2952" s="126"/>
      <c r="B2952" s="680"/>
    </row>
    <row r="2953" spans="1:2">
      <c r="A2953" s="126"/>
      <c r="B2953" s="680"/>
    </row>
    <row r="2954" spans="1:2">
      <c r="A2954" s="126"/>
      <c r="B2954" s="680"/>
    </row>
    <row r="2955" spans="1:2">
      <c r="A2955" s="126"/>
      <c r="B2955" s="680"/>
    </row>
    <row r="2956" spans="1:2">
      <c r="A2956" s="126"/>
      <c r="B2956" s="680"/>
    </row>
    <row r="2957" spans="1:2">
      <c r="A2957" s="126"/>
      <c r="B2957" s="680"/>
    </row>
    <row r="2958" spans="1:2">
      <c r="A2958" s="126"/>
      <c r="B2958" s="680"/>
    </row>
    <row r="2959" spans="1:2">
      <c r="A2959" s="126"/>
      <c r="B2959" s="680"/>
    </row>
    <row r="2960" spans="1:2">
      <c r="A2960" s="126"/>
      <c r="B2960" s="680"/>
    </row>
    <row r="2961" spans="1:2">
      <c r="A2961" s="126"/>
      <c r="B2961" s="680"/>
    </row>
    <row r="2962" spans="1:2">
      <c r="A2962" s="126"/>
      <c r="B2962" s="680"/>
    </row>
    <row r="2963" spans="1:2">
      <c r="A2963" s="126"/>
      <c r="B2963" s="680"/>
    </row>
    <row r="2964" spans="1:2">
      <c r="A2964" s="126"/>
      <c r="B2964" s="680"/>
    </row>
    <row r="2965" spans="1:2">
      <c r="A2965" s="126"/>
      <c r="B2965" s="680"/>
    </row>
    <row r="2966" spans="1:2">
      <c r="A2966" s="126"/>
      <c r="B2966" s="680"/>
    </row>
    <row r="2967" spans="1:2">
      <c r="A2967" s="126"/>
      <c r="B2967" s="680"/>
    </row>
    <row r="2968" spans="1:2">
      <c r="A2968" s="126"/>
      <c r="B2968" s="680"/>
    </row>
    <row r="2969" spans="1:2">
      <c r="A2969" s="126"/>
      <c r="B2969" s="680"/>
    </row>
    <row r="2970" spans="1:2">
      <c r="A2970" s="126"/>
      <c r="B2970" s="680"/>
    </row>
    <row r="2971" spans="1:2">
      <c r="A2971" s="126"/>
      <c r="B2971" s="680"/>
    </row>
    <row r="2972" spans="1:2">
      <c r="A2972" s="126"/>
      <c r="B2972" s="680"/>
    </row>
    <row r="2973" spans="1:2">
      <c r="A2973" s="126"/>
      <c r="B2973" s="680"/>
    </row>
    <row r="2974" spans="1:2">
      <c r="A2974" s="126"/>
      <c r="B2974" s="680"/>
    </row>
    <row r="2975" spans="1:2">
      <c r="A2975" s="126"/>
      <c r="B2975" s="680"/>
    </row>
    <row r="2976" spans="1:2">
      <c r="A2976" s="126"/>
      <c r="B2976" s="680"/>
    </row>
    <row r="2977" spans="1:2">
      <c r="A2977" s="126"/>
      <c r="B2977" s="680"/>
    </row>
    <row r="2978" spans="1:2">
      <c r="A2978" s="126"/>
      <c r="B2978" s="680"/>
    </row>
    <row r="2979" spans="1:2">
      <c r="A2979" s="126"/>
      <c r="B2979" s="680"/>
    </row>
    <row r="2980" spans="1:2">
      <c r="A2980" s="126"/>
      <c r="B2980" s="680"/>
    </row>
    <row r="2981" spans="1:2">
      <c r="A2981" s="126"/>
      <c r="B2981" s="680"/>
    </row>
    <row r="2982" spans="1:2">
      <c r="A2982" s="126"/>
      <c r="B2982" s="680"/>
    </row>
    <row r="2983" spans="1:2">
      <c r="A2983" s="126"/>
      <c r="B2983" s="680"/>
    </row>
    <row r="2984" spans="1:2">
      <c r="A2984" s="126"/>
      <c r="B2984" s="680"/>
    </row>
    <row r="2985" spans="1:2">
      <c r="A2985" s="126"/>
      <c r="B2985" s="680"/>
    </row>
    <row r="2986" spans="1:2">
      <c r="A2986" s="126"/>
      <c r="B2986" s="680"/>
    </row>
    <row r="2987" spans="1:2">
      <c r="A2987" s="126"/>
      <c r="B2987" s="680"/>
    </row>
    <row r="2988" spans="1:2">
      <c r="A2988" s="126"/>
      <c r="B2988" s="680"/>
    </row>
    <row r="2989" spans="1:2">
      <c r="A2989" s="126"/>
      <c r="B2989" s="680"/>
    </row>
    <row r="2990" spans="1:2">
      <c r="A2990" s="126"/>
      <c r="B2990" s="680"/>
    </row>
    <row r="2991" spans="1:2">
      <c r="A2991" s="126"/>
      <c r="B2991" s="680"/>
    </row>
    <row r="2992" spans="1:2">
      <c r="A2992" s="126"/>
      <c r="B2992" s="680"/>
    </row>
    <row r="2993" spans="1:2">
      <c r="A2993" s="126"/>
      <c r="B2993" s="680"/>
    </row>
    <row r="2994" spans="1:2">
      <c r="A2994" s="126"/>
      <c r="B2994" s="680"/>
    </row>
    <row r="2995" spans="1:2">
      <c r="A2995" s="126"/>
      <c r="B2995" s="680"/>
    </row>
    <row r="2996" spans="1:2">
      <c r="A2996" s="126"/>
      <c r="B2996" s="680"/>
    </row>
    <row r="2997" spans="1:2">
      <c r="A2997" s="126"/>
      <c r="B2997" s="680"/>
    </row>
    <row r="2998" spans="1:2">
      <c r="A2998" s="126"/>
      <c r="B2998" s="680"/>
    </row>
    <row r="2999" spans="1:2">
      <c r="A2999" s="126"/>
      <c r="B2999" s="680"/>
    </row>
    <row r="3000" spans="1:2">
      <c r="A3000" s="126"/>
      <c r="B3000" s="680"/>
    </row>
    <row r="3001" spans="1:2">
      <c r="A3001" s="126"/>
      <c r="B3001" s="680"/>
    </row>
    <row r="3002" spans="1:2">
      <c r="A3002" s="126"/>
      <c r="B3002" s="680"/>
    </row>
    <row r="3003" spans="1:2">
      <c r="A3003" s="126"/>
      <c r="B3003" s="680"/>
    </row>
    <row r="3004" spans="1:2">
      <c r="A3004" s="126"/>
      <c r="B3004" s="680"/>
    </row>
    <row r="3005" spans="1:2">
      <c r="A3005" s="126"/>
      <c r="B3005" s="680"/>
    </row>
    <row r="3006" spans="1:2">
      <c r="A3006" s="126"/>
      <c r="B3006" s="680"/>
    </row>
    <row r="3007" spans="1:2">
      <c r="A3007" s="126"/>
      <c r="B3007" s="680"/>
    </row>
    <row r="3008" spans="1:2">
      <c r="A3008" s="126"/>
      <c r="B3008" s="680"/>
    </row>
    <row r="3009" spans="1:2">
      <c r="A3009" s="126"/>
      <c r="B3009" s="680"/>
    </row>
    <row r="3010" spans="1:2">
      <c r="A3010" s="126"/>
      <c r="B3010" s="680"/>
    </row>
    <row r="3011" spans="1:2">
      <c r="A3011" s="126"/>
      <c r="B3011" s="680"/>
    </row>
    <row r="3012" spans="1:2">
      <c r="A3012" s="126"/>
      <c r="B3012" s="680"/>
    </row>
    <row r="3013" spans="1:2">
      <c r="A3013" s="126"/>
      <c r="B3013" s="680"/>
    </row>
    <row r="3014" spans="1:2">
      <c r="A3014" s="126"/>
      <c r="B3014" s="680"/>
    </row>
    <row r="3015" spans="1:2">
      <c r="A3015" s="126"/>
      <c r="B3015" s="680"/>
    </row>
    <row r="3016" spans="1:2">
      <c r="A3016" s="126"/>
      <c r="B3016" s="680"/>
    </row>
    <row r="3017" spans="1:2">
      <c r="A3017" s="126"/>
      <c r="B3017" s="680"/>
    </row>
    <row r="3018" spans="1:2">
      <c r="A3018" s="126"/>
      <c r="B3018" s="680"/>
    </row>
    <row r="3019" spans="1:2">
      <c r="A3019" s="126"/>
      <c r="B3019" s="680"/>
    </row>
    <row r="3020" spans="1:2">
      <c r="A3020" s="126"/>
      <c r="B3020" s="680"/>
    </row>
    <row r="3021" spans="1:2">
      <c r="A3021" s="126"/>
      <c r="B3021" s="680"/>
    </row>
    <row r="3022" spans="1:2">
      <c r="A3022" s="126"/>
      <c r="B3022" s="680"/>
    </row>
    <row r="3023" spans="1:2">
      <c r="A3023" s="126"/>
      <c r="B3023" s="680"/>
    </row>
    <row r="3024" spans="1:2">
      <c r="A3024" s="126"/>
      <c r="B3024" s="680"/>
    </row>
    <row r="3025" spans="1:2">
      <c r="A3025" s="126"/>
      <c r="B3025" s="680"/>
    </row>
    <row r="3026" spans="1:2">
      <c r="A3026" s="126"/>
      <c r="B3026" s="680"/>
    </row>
    <row r="3027" spans="1:2">
      <c r="A3027" s="126"/>
      <c r="B3027" s="680"/>
    </row>
    <row r="3028" spans="1:2">
      <c r="A3028" s="126"/>
      <c r="B3028" s="680"/>
    </row>
    <row r="3029" spans="1:2">
      <c r="A3029" s="126"/>
      <c r="B3029" s="680"/>
    </row>
    <row r="3030" spans="1:2">
      <c r="A3030" s="126"/>
      <c r="B3030" s="680"/>
    </row>
    <row r="3031" spans="1:2">
      <c r="A3031" s="126"/>
      <c r="B3031" s="680"/>
    </row>
    <row r="3032" spans="1:2">
      <c r="A3032" s="126"/>
      <c r="B3032" s="680"/>
    </row>
    <row r="3033" spans="1:2">
      <c r="A3033" s="126"/>
      <c r="B3033" s="680"/>
    </row>
    <row r="3034" spans="1:2">
      <c r="A3034" s="126"/>
      <c r="B3034" s="680"/>
    </row>
    <row r="3035" spans="1:2">
      <c r="A3035" s="126"/>
      <c r="B3035" s="680"/>
    </row>
    <row r="3036" spans="1:2">
      <c r="A3036" s="126"/>
      <c r="B3036" s="680"/>
    </row>
    <row r="3037" spans="1:2">
      <c r="A3037" s="126"/>
      <c r="B3037" s="680"/>
    </row>
    <row r="3038" spans="1:2">
      <c r="A3038" s="126"/>
      <c r="B3038" s="680"/>
    </row>
    <row r="3039" spans="1:2">
      <c r="A3039" s="126"/>
      <c r="B3039" s="680"/>
    </row>
    <row r="3040" spans="1:2">
      <c r="A3040" s="126"/>
      <c r="B3040" s="680"/>
    </row>
    <row r="3041" spans="1:2">
      <c r="A3041" s="126"/>
      <c r="B3041" s="680"/>
    </row>
    <row r="3042" spans="1:2">
      <c r="A3042" s="126"/>
      <c r="B3042" s="680"/>
    </row>
    <row r="3043" spans="1:2">
      <c r="A3043" s="126"/>
      <c r="B3043" s="680"/>
    </row>
    <row r="3044" spans="1:2">
      <c r="A3044" s="126"/>
      <c r="B3044" s="680"/>
    </row>
    <row r="3045" spans="1:2">
      <c r="A3045" s="126"/>
      <c r="B3045" s="680"/>
    </row>
    <row r="3046" spans="1:2">
      <c r="A3046" s="126"/>
      <c r="B3046" s="680"/>
    </row>
    <row r="3047" spans="1:2">
      <c r="A3047" s="126"/>
      <c r="B3047" s="680"/>
    </row>
    <row r="3048" spans="1:2">
      <c r="A3048" s="126"/>
      <c r="B3048" s="680"/>
    </row>
    <row r="3049" spans="1:2">
      <c r="A3049" s="126"/>
      <c r="B3049" s="680"/>
    </row>
    <row r="3050" spans="1:2">
      <c r="A3050" s="126"/>
      <c r="B3050" s="680"/>
    </row>
    <row r="3051" spans="1:2">
      <c r="A3051" s="126"/>
      <c r="B3051" s="680"/>
    </row>
    <row r="3052" spans="1:2">
      <c r="A3052" s="126"/>
      <c r="B3052" s="680"/>
    </row>
    <row r="3053" spans="1:2">
      <c r="A3053" s="126"/>
      <c r="B3053" s="680"/>
    </row>
    <row r="3054" spans="1:2">
      <c r="A3054" s="126"/>
      <c r="B3054" s="680"/>
    </row>
    <row r="3055" spans="1:2">
      <c r="A3055" s="126"/>
      <c r="B3055" s="680"/>
    </row>
    <row r="3056" spans="1:2">
      <c r="A3056" s="126"/>
      <c r="B3056" s="680"/>
    </row>
    <row r="3057" spans="1:2">
      <c r="A3057" s="126"/>
      <c r="B3057" s="680"/>
    </row>
    <row r="3058" spans="1:2">
      <c r="A3058" s="126"/>
      <c r="B3058" s="680"/>
    </row>
    <row r="3059" spans="1:2">
      <c r="A3059" s="126"/>
      <c r="B3059" s="680"/>
    </row>
    <row r="3060" spans="1:2">
      <c r="A3060" s="126"/>
      <c r="B3060" s="680"/>
    </row>
    <row r="3061" spans="1:2">
      <c r="A3061" s="126"/>
      <c r="B3061" s="680"/>
    </row>
    <row r="3062" spans="1:2">
      <c r="A3062" s="126"/>
      <c r="B3062" s="680"/>
    </row>
    <row r="3063" spans="1:2">
      <c r="A3063" s="126"/>
      <c r="B3063" s="680"/>
    </row>
    <row r="3064" spans="1:2">
      <c r="A3064" s="126"/>
      <c r="B3064" s="680"/>
    </row>
    <row r="3065" spans="1:2">
      <c r="A3065" s="126"/>
      <c r="B3065" s="680"/>
    </row>
    <row r="3066" spans="1:2">
      <c r="A3066" s="126"/>
      <c r="B3066" s="680"/>
    </row>
    <row r="3067" spans="1:2">
      <c r="A3067" s="126"/>
      <c r="B3067" s="680"/>
    </row>
    <row r="3068" spans="1:2">
      <c r="A3068" s="126"/>
      <c r="B3068" s="680"/>
    </row>
    <row r="3069" spans="1:2">
      <c r="A3069" s="126"/>
      <c r="B3069" s="680"/>
    </row>
    <row r="3070" spans="1:2">
      <c r="A3070" s="126"/>
      <c r="B3070" s="680"/>
    </row>
    <row r="3071" spans="1:2">
      <c r="A3071" s="126"/>
      <c r="B3071" s="680"/>
    </row>
    <row r="3072" spans="1:2">
      <c r="A3072" s="126"/>
      <c r="B3072" s="680"/>
    </row>
    <row r="3073" spans="1:2">
      <c r="A3073" s="126"/>
      <c r="B3073" s="680"/>
    </row>
    <row r="3074" spans="1:2">
      <c r="A3074" s="126"/>
      <c r="B3074" s="680"/>
    </row>
    <row r="3075" spans="1:2">
      <c r="A3075" s="126"/>
      <c r="B3075" s="680"/>
    </row>
    <row r="3076" spans="1:2">
      <c r="A3076" s="126"/>
      <c r="B3076" s="680"/>
    </row>
    <row r="3077" spans="1:2">
      <c r="A3077" s="126"/>
      <c r="B3077" s="680"/>
    </row>
    <row r="3078" spans="1:2">
      <c r="A3078" s="126"/>
      <c r="B3078" s="680"/>
    </row>
    <row r="3079" spans="1:2">
      <c r="A3079" s="126"/>
      <c r="B3079" s="680"/>
    </row>
    <row r="3080" spans="1:2">
      <c r="A3080" s="126"/>
      <c r="B3080" s="680"/>
    </row>
    <row r="3081" spans="1:2">
      <c r="A3081" s="126"/>
      <c r="B3081" s="680"/>
    </row>
    <row r="3082" spans="1:2">
      <c r="A3082" s="126"/>
      <c r="B3082" s="680"/>
    </row>
    <row r="3083" spans="1:2">
      <c r="A3083" s="126"/>
      <c r="B3083" s="680"/>
    </row>
    <row r="3084" spans="1:2">
      <c r="A3084" s="126"/>
      <c r="B3084" s="680"/>
    </row>
    <row r="3085" spans="1:2">
      <c r="A3085" s="126"/>
      <c r="B3085" s="680"/>
    </row>
    <row r="3086" spans="1:2">
      <c r="A3086" s="126"/>
      <c r="B3086" s="680"/>
    </row>
    <row r="3087" spans="1:2">
      <c r="A3087" s="126"/>
      <c r="B3087" s="680"/>
    </row>
    <row r="3088" spans="1:2">
      <c r="A3088" s="126"/>
      <c r="B3088" s="680"/>
    </row>
    <row r="3089" spans="1:2">
      <c r="A3089" s="126"/>
      <c r="B3089" s="680"/>
    </row>
    <row r="3090" spans="1:2">
      <c r="A3090" s="126"/>
      <c r="B3090" s="680"/>
    </row>
    <row r="3091" spans="1:2">
      <c r="A3091" s="126"/>
      <c r="B3091" s="680"/>
    </row>
    <row r="3092" spans="1:2">
      <c r="A3092" s="126"/>
      <c r="B3092" s="680"/>
    </row>
    <row r="3093" spans="1:2">
      <c r="A3093" s="126"/>
      <c r="B3093" s="680"/>
    </row>
    <row r="3094" spans="1:2">
      <c r="A3094" s="126"/>
      <c r="B3094" s="680"/>
    </row>
    <row r="3095" spans="1:2">
      <c r="A3095" s="126"/>
      <c r="B3095" s="680"/>
    </row>
    <row r="3096" spans="1:2">
      <c r="A3096" s="126"/>
      <c r="B3096" s="680"/>
    </row>
    <row r="3097" spans="1:2">
      <c r="A3097" s="126"/>
      <c r="B3097" s="680"/>
    </row>
    <row r="3098" spans="1:2">
      <c r="A3098" s="126"/>
      <c r="B3098" s="680"/>
    </row>
    <row r="3099" spans="1:2">
      <c r="A3099" s="126"/>
      <c r="B3099" s="680"/>
    </row>
    <row r="3100" spans="1:2">
      <c r="A3100" s="126"/>
      <c r="B3100" s="680"/>
    </row>
    <row r="3101" spans="1:2">
      <c r="A3101" s="126"/>
      <c r="B3101" s="680"/>
    </row>
    <row r="3102" spans="1:2">
      <c r="A3102" s="126"/>
      <c r="B3102" s="680"/>
    </row>
    <row r="3103" spans="1:2">
      <c r="A3103" s="126"/>
      <c r="B3103" s="680"/>
    </row>
    <row r="3104" spans="1:2">
      <c r="A3104" s="126"/>
      <c r="B3104" s="680"/>
    </row>
    <row r="3105" spans="1:2">
      <c r="A3105" s="126"/>
      <c r="B3105" s="680"/>
    </row>
    <row r="3106" spans="1:2">
      <c r="A3106" s="126"/>
      <c r="B3106" s="680"/>
    </row>
    <row r="3107" spans="1:2">
      <c r="A3107" s="126"/>
      <c r="B3107" s="680"/>
    </row>
    <row r="3108" spans="1:2">
      <c r="A3108" s="126"/>
      <c r="B3108" s="680"/>
    </row>
    <row r="3109" spans="1:2">
      <c r="A3109" s="126"/>
      <c r="B3109" s="680"/>
    </row>
    <row r="3110" spans="1:2">
      <c r="A3110" s="126"/>
      <c r="B3110" s="680"/>
    </row>
    <row r="3111" spans="1:2">
      <c r="A3111" s="126"/>
      <c r="B3111" s="680"/>
    </row>
    <row r="3112" spans="1:2">
      <c r="A3112" s="126"/>
      <c r="B3112" s="680"/>
    </row>
    <row r="3113" spans="1:2">
      <c r="A3113" s="126"/>
      <c r="B3113" s="680"/>
    </row>
    <row r="3114" spans="1:2">
      <c r="A3114" s="126"/>
      <c r="B3114" s="680"/>
    </row>
    <row r="3115" spans="1:2">
      <c r="A3115" s="126"/>
      <c r="B3115" s="680"/>
    </row>
    <row r="3116" spans="1:2">
      <c r="A3116" s="126"/>
      <c r="B3116" s="680"/>
    </row>
    <row r="3117" spans="1:2">
      <c r="A3117" s="126"/>
      <c r="B3117" s="680"/>
    </row>
    <row r="3118" spans="1:2">
      <c r="A3118" s="126"/>
      <c r="B3118" s="680"/>
    </row>
    <row r="3119" spans="1:2">
      <c r="A3119" s="126"/>
      <c r="B3119" s="680"/>
    </row>
    <row r="3120" spans="1:2">
      <c r="A3120" s="126"/>
      <c r="B3120" s="680"/>
    </row>
    <row r="3121" spans="1:2">
      <c r="A3121" s="126"/>
      <c r="B3121" s="680"/>
    </row>
    <row r="3122" spans="1:2">
      <c r="A3122" s="126"/>
      <c r="B3122" s="680"/>
    </row>
    <row r="3123" spans="1:2">
      <c r="A3123" s="126"/>
      <c r="B3123" s="680"/>
    </row>
    <row r="3124" spans="1:2">
      <c r="A3124" s="126"/>
      <c r="B3124" s="680"/>
    </row>
    <row r="3125" spans="1:2">
      <c r="A3125" s="126"/>
      <c r="B3125" s="680"/>
    </row>
    <row r="3126" spans="1:2">
      <c r="A3126" s="126"/>
      <c r="B3126" s="680"/>
    </row>
    <row r="3127" spans="1:2">
      <c r="A3127" s="126"/>
      <c r="B3127" s="680"/>
    </row>
    <row r="3128" spans="1:2">
      <c r="A3128" s="126"/>
      <c r="B3128" s="680"/>
    </row>
    <row r="3129" spans="1:2">
      <c r="A3129" s="126"/>
      <c r="B3129" s="680"/>
    </row>
    <row r="3130" spans="1:2">
      <c r="A3130" s="126"/>
      <c r="B3130" s="680"/>
    </row>
    <row r="3131" spans="1:2">
      <c r="A3131" s="126"/>
      <c r="B3131" s="680"/>
    </row>
    <row r="3132" spans="1:2">
      <c r="A3132" s="126"/>
      <c r="B3132" s="680"/>
    </row>
    <row r="3133" spans="1:2">
      <c r="A3133" s="126"/>
      <c r="B3133" s="680"/>
    </row>
    <row r="3134" spans="1:2">
      <c r="A3134" s="126"/>
      <c r="B3134" s="680"/>
    </row>
    <row r="3135" spans="1:2">
      <c r="A3135" s="126"/>
      <c r="B3135" s="680"/>
    </row>
    <row r="3136" spans="1:2">
      <c r="A3136" s="126"/>
      <c r="B3136" s="680"/>
    </row>
    <row r="3137" spans="1:2">
      <c r="A3137" s="126"/>
      <c r="B3137" s="680"/>
    </row>
    <row r="3138" spans="1:2">
      <c r="A3138" s="126"/>
      <c r="B3138" s="680"/>
    </row>
    <row r="3139" spans="1:2">
      <c r="A3139" s="126"/>
      <c r="B3139" s="680"/>
    </row>
    <row r="3140" spans="1:2">
      <c r="A3140" s="126"/>
      <c r="B3140" s="680"/>
    </row>
    <row r="3141" spans="1:2">
      <c r="A3141" s="126"/>
      <c r="B3141" s="680"/>
    </row>
    <row r="3142" spans="1:2">
      <c r="A3142" s="126"/>
      <c r="B3142" s="680"/>
    </row>
    <row r="3143" spans="1:2">
      <c r="A3143" s="126"/>
      <c r="B3143" s="680"/>
    </row>
    <row r="3144" spans="1:2">
      <c r="A3144" s="126"/>
      <c r="B3144" s="680"/>
    </row>
    <row r="3145" spans="1:2">
      <c r="A3145" s="126"/>
      <c r="B3145" s="680"/>
    </row>
    <row r="3146" spans="1:2">
      <c r="A3146" s="126"/>
      <c r="B3146" s="680"/>
    </row>
    <row r="3147" spans="1:2">
      <c r="A3147" s="126"/>
      <c r="B3147" s="680"/>
    </row>
    <row r="3148" spans="1:2">
      <c r="A3148" s="126"/>
      <c r="B3148" s="680"/>
    </row>
    <row r="3149" spans="1:2">
      <c r="A3149" s="126"/>
      <c r="B3149" s="680"/>
    </row>
    <row r="3150" spans="1:2">
      <c r="A3150" s="126"/>
      <c r="B3150" s="680"/>
    </row>
    <row r="3151" spans="1:2">
      <c r="A3151" s="126"/>
      <c r="B3151" s="680"/>
    </row>
    <row r="3152" spans="1:2">
      <c r="A3152" s="126"/>
      <c r="B3152" s="680"/>
    </row>
    <row r="3153" spans="1:2">
      <c r="A3153" s="126"/>
      <c r="B3153" s="680"/>
    </row>
    <row r="3154" spans="1:2">
      <c r="A3154" s="126"/>
      <c r="B3154" s="680"/>
    </row>
    <row r="3155" spans="1:2">
      <c r="A3155" s="126"/>
      <c r="B3155" s="680"/>
    </row>
    <row r="3156" spans="1:2">
      <c r="A3156" s="126"/>
      <c r="B3156" s="680"/>
    </row>
    <row r="3157" spans="1:2">
      <c r="A3157" s="126"/>
      <c r="B3157" s="680"/>
    </row>
    <row r="3158" spans="1:2">
      <c r="A3158" s="126"/>
      <c r="B3158" s="680"/>
    </row>
    <row r="3159" spans="1:2">
      <c r="A3159" s="126"/>
      <c r="B3159" s="680"/>
    </row>
    <row r="3160" spans="1:2">
      <c r="A3160" s="126"/>
      <c r="B3160" s="680"/>
    </row>
    <row r="3161" spans="1:2">
      <c r="A3161" s="126"/>
      <c r="B3161" s="680"/>
    </row>
    <row r="3162" spans="1:2">
      <c r="A3162" s="126"/>
      <c r="B3162" s="680"/>
    </row>
    <row r="3163" spans="1:2">
      <c r="A3163" s="126"/>
      <c r="B3163" s="680"/>
    </row>
    <row r="3164" spans="1:2">
      <c r="A3164" s="126"/>
      <c r="B3164" s="680"/>
    </row>
    <row r="3165" spans="1:2">
      <c r="A3165" s="126"/>
      <c r="B3165" s="680"/>
    </row>
    <row r="3166" spans="1:2">
      <c r="A3166" s="126"/>
      <c r="B3166" s="680"/>
    </row>
    <row r="3167" spans="1:2">
      <c r="A3167" s="126"/>
      <c r="B3167" s="680"/>
    </row>
    <row r="3168" spans="1:2">
      <c r="A3168" s="126"/>
      <c r="B3168" s="680"/>
    </row>
    <row r="3169" spans="1:2">
      <c r="A3169" s="126"/>
      <c r="B3169" s="680"/>
    </row>
    <row r="3170" spans="1:2">
      <c r="A3170" s="126"/>
      <c r="B3170" s="680"/>
    </row>
    <row r="3171" spans="1:2">
      <c r="A3171" s="126"/>
      <c r="B3171" s="680"/>
    </row>
    <row r="3172" spans="1:2">
      <c r="A3172" s="126"/>
      <c r="B3172" s="680"/>
    </row>
    <row r="3173" spans="1:2">
      <c r="A3173" s="126"/>
      <c r="B3173" s="680"/>
    </row>
    <row r="3174" spans="1:2">
      <c r="A3174" s="126"/>
      <c r="B3174" s="680"/>
    </row>
    <row r="3175" spans="1:2">
      <c r="A3175" s="126"/>
      <c r="B3175" s="680"/>
    </row>
    <row r="3176" spans="1:2">
      <c r="A3176" s="126"/>
      <c r="B3176" s="680"/>
    </row>
    <row r="3177" spans="1:2">
      <c r="A3177" s="126"/>
      <c r="B3177" s="680"/>
    </row>
    <row r="3178" spans="1:2">
      <c r="A3178" s="126"/>
      <c r="B3178" s="680"/>
    </row>
    <row r="3179" spans="1:2">
      <c r="A3179" s="126"/>
      <c r="B3179" s="680"/>
    </row>
    <row r="3180" spans="1:2">
      <c r="A3180" s="126"/>
      <c r="B3180" s="680"/>
    </row>
    <row r="3181" spans="1:2">
      <c r="A3181" s="126"/>
      <c r="B3181" s="680"/>
    </row>
    <row r="3182" spans="1:2">
      <c r="A3182" s="126"/>
      <c r="B3182" s="680"/>
    </row>
    <row r="3183" spans="1:2">
      <c r="A3183" s="126"/>
      <c r="B3183" s="680"/>
    </row>
    <row r="3184" spans="1:2">
      <c r="A3184" s="126"/>
      <c r="B3184" s="680"/>
    </row>
    <row r="3185" spans="1:2">
      <c r="A3185" s="126"/>
      <c r="B3185" s="680"/>
    </row>
    <row r="3186" spans="1:2">
      <c r="A3186" s="126"/>
      <c r="B3186" s="680"/>
    </row>
    <row r="3187" spans="1:2">
      <c r="A3187" s="126"/>
      <c r="B3187" s="680"/>
    </row>
    <row r="3188" spans="1:2">
      <c r="A3188" s="126"/>
      <c r="B3188" s="680"/>
    </row>
    <row r="3189" spans="1:2">
      <c r="A3189" s="126"/>
      <c r="B3189" s="680"/>
    </row>
    <row r="3190" spans="1:2">
      <c r="A3190" s="126"/>
      <c r="B3190" s="680"/>
    </row>
    <row r="3191" spans="1:2">
      <c r="A3191" s="126"/>
      <c r="B3191" s="680"/>
    </row>
    <row r="3192" spans="1:2">
      <c r="A3192" s="126"/>
      <c r="B3192" s="680"/>
    </row>
    <row r="3193" spans="1:2">
      <c r="A3193" s="126"/>
      <c r="B3193" s="680"/>
    </row>
    <row r="3194" spans="1:2">
      <c r="A3194" s="126"/>
      <c r="B3194" s="680"/>
    </row>
    <row r="3195" spans="1:2">
      <c r="A3195" s="126"/>
      <c r="B3195" s="680"/>
    </row>
    <row r="3196" spans="1:2">
      <c r="A3196" s="126"/>
      <c r="B3196" s="680"/>
    </row>
    <row r="3197" spans="1:2">
      <c r="A3197" s="126"/>
      <c r="B3197" s="680"/>
    </row>
    <row r="3198" spans="1:2">
      <c r="A3198" s="126"/>
      <c r="B3198" s="680"/>
    </row>
    <row r="3199" spans="1:2">
      <c r="A3199" s="126"/>
      <c r="B3199" s="680"/>
    </row>
    <row r="3200" spans="1:2">
      <c r="A3200" s="126"/>
      <c r="B3200" s="680"/>
    </row>
    <row r="3201" spans="1:2">
      <c r="A3201" s="126"/>
      <c r="B3201" s="680"/>
    </row>
    <row r="3202" spans="1:2">
      <c r="A3202" s="126"/>
      <c r="B3202" s="680"/>
    </row>
    <row r="3203" spans="1:2">
      <c r="A3203" s="126"/>
      <c r="B3203" s="680"/>
    </row>
    <row r="3204" spans="1:2">
      <c r="A3204" s="126"/>
      <c r="B3204" s="680"/>
    </row>
    <row r="3205" spans="1:2">
      <c r="A3205" s="126"/>
      <c r="B3205" s="680"/>
    </row>
    <row r="3206" spans="1:2">
      <c r="A3206" s="126"/>
      <c r="B3206" s="680"/>
    </row>
    <row r="3207" spans="1:2">
      <c r="A3207" s="126"/>
      <c r="B3207" s="680"/>
    </row>
    <row r="3208" spans="1:2">
      <c r="A3208" s="126"/>
      <c r="B3208" s="680"/>
    </row>
    <row r="3209" spans="1:2">
      <c r="A3209" s="126"/>
      <c r="B3209" s="680"/>
    </row>
    <row r="3210" spans="1:2">
      <c r="A3210" s="126"/>
      <c r="B3210" s="680"/>
    </row>
    <row r="3211" spans="1:2">
      <c r="A3211" s="126"/>
      <c r="B3211" s="680"/>
    </row>
    <row r="3212" spans="1:2">
      <c r="A3212" s="126"/>
      <c r="B3212" s="680"/>
    </row>
    <row r="3213" spans="1:2">
      <c r="A3213" s="126"/>
      <c r="B3213" s="680"/>
    </row>
    <row r="3214" spans="1:2">
      <c r="A3214" s="126"/>
      <c r="B3214" s="680"/>
    </row>
    <row r="3215" spans="1:2">
      <c r="A3215" s="126"/>
      <c r="B3215" s="680"/>
    </row>
    <row r="3216" spans="1:2">
      <c r="A3216" s="126"/>
      <c r="B3216" s="680"/>
    </row>
    <row r="3217" spans="1:2">
      <c r="A3217" s="126"/>
      <c r="B3217" s="680"/>
    </row>
    <row r="3218" spans="1:2">
      <c r="A3218" s="126"/>
      <c r="B3218" s="680"/>
    </row>
    <row r="3219" spans="1:2">
      <c r="A3219" s="126"/>
      <c r="B3219" s="680"/>
    </row>
    <row r="3220" spans="1:2">
      <c r="A3220" s="126"/>
      <c r="B3220" s="680"/>
    </row>
    <row r="3221" spans="1:2">
      <c r="A3221" s="126"/>
      <c r="B3221" s="680"/>
    </row>
    <row r="3222" spans="1:2">
      <c r="A3222" s="126"/>
      <c r="B3222" s="680"/>
    </row>
    <row r="3223" spans="1:2">
      <c r="A3223" s="126"/>
      <c r="B3223" s="680"/>
    </row>
    <row r="3224" spans="1:2">
      <c r="A3224" s="126"/>
      <c r="B3224" s="680"/>
    </row>
    <row r="3225" spans="1:2">
      <c r="A3225" s="126"/>
      <c r="B3225" s="680"/>
    </row>
    <row r="3226" spans="1:2">
      <c r="A3226" s="126"/>
      <c r="B3226" s="680"/>
    </row>
    <row r="3227" spans="1:2">
      <c r="A3227" s="126"/>
      <c r="B3227" s="680"/>
    </row>
    <row r="3228" spans="1:2">
      <c r="A3228" s="126"/>
      <c r="B3228" s="680"/>
    </row>
    <row r="3229" spans="1:2">
      <c r="A3229" s="126"/>
      <c r="B3229" s="680"/>
    </row>
    <row r="3230" spans="1:2">
      <c r="A3230" s="126"/>
      <c r="B3230" s="680"/>
    </row>
    <row r="3231" spans="1:2">
      <c r="A3231" s="126"/>
      <c r="B3231" s="680"/>
    </row>
    <row r="3232" spans="1:2">
      <c r="A3232" s="126"/>
      <c r="B3232" s="680"/>
    </row>
    <row r="3233" spans="1:2">
      <c r="A3233" s="126"/>
      <c r="B3233" s="680"/>
    </row>
    <row r="3234" spans="1:2">
      <c r="A3234" s="126"/>
      <c r="B3234" s="680"/>
    </row>
    <row r="3235" spans="1:2">
      <c r="A3235" s="126"/>
      <c r="B3235" s="680"/>
    </row>
    <row r="3236" spans="1:2">
      <c r="A3236" s="126"/>
      <c r="B3236" s="680"/>
    </row>
    <row r="3237" spans="1:2">
      <c r="A3237" s="126"/>
      <c r="B3237" s="680"/>
    </row>
    <row r="3238" spans="1:2">
      <c r="A3238" s="126"/>
      <c r="B3238" s="680"/>
    </row>
    <row r="3239" spans="1:2">
      <c r="A3239" s="126"/>
      <c r="B3239" s="680"/>
    </row>
    <row r="3240" spans="1:2">
      <c r="A3240" s="126"/>
      <c r="B3240" s="680"/>
    </row>
    <row r="3241" spans="1:2">
      <c r="A3241" s="126"/>
      <c r="B3241" s="680"/>
    </row>
    <row r="3242" spans="1:2">
      <c r="A3242" s="126"/>
      <c r="B3242" s="680"/>
    </row>
    <row r="3243" spans="1:2">
      <c r="A3243" s="126"/>
      <c r="B3243" s="680"/>
    </row>
    <row r="3244" spans="1:2">
      <c r="A3244" s="126"/>
      <c r="B3244" s="680"/>
    </row>
    <row r="3245" spans="1:2">
      <c r="A3245" s="126"/>
      <c r="B3245" s="680"/>
    </row>
    <row r="3246" spans="1:2">
      <c r="A3246" s="126"/>
      <c r="B3246" s="680"/>
    </row>
    <row r="3247" spans="1:2">
      <c r="A3247" s="126"/>
      <c r="B3247" s="680"/>
    </row>
    <row r="3248" spans="1:2">
      <c r="A3248" s="126"/>
      <c r="B3248" s="680"/>
    </row>
    <row r="3249" spans="1:2">
      <c r="A3249" s="126"/>
      <c r="B3249" s="680"/>
    </row>
    <row r="3250" spans="1:2">
      <c r="A3250" s="126"/>
      <c r="B3250" s="680"/>
    </row>
    <row r="3251" spans="1:2">
      <c r="A3251" s="126"/>
      <c r="B3251" s="680"/>
    </row>
    <row r="3252" spans="1:2">
      <c r="A3252" s="126"/>
      <c r="B3252" s="680"/>
    </row>
    <row r="3253" spans="1:2">
      <c r="A3253" s="126"/>
      <c r="B3253" s="680"/>
    </row>
    <row r="3254" spans="1:2">
      <c r="A3254" s="126"/>
      <c r="B3254" s="680"/>
    </row>
    <row r="3255" spans="1:2">
      <c r="A3255" s="126"/>
      <c r="B3255" s="680"/>
    </row>
    <row r="3256" spans="1:2">
      <c r="A3256" s="126"/>
      <c r="B3256" s="680"/>
    </row>
    <row r="3257" spans="1:2">
      <c r="A3257" s="126"/>
      <c r="B3257" s="680"/>
    </row>
    <row r="3258" spans="1:2">
      <c r="A3258" s="126"/>
      <c r="B3258" s="680"/>
    </row>
    <row r="3259" spans="1:2">
      <c r="A3259" s="126"/>
      <c r="B3259" s="680"/>
    </row>
    <row r="3260" spans="1:2">
      <c r="A3260" s="126"/>
      <c r="B3260" s="680"/>
    </row>
    <row r="3261" spans="1:2">
      <c r="A3261" s="126"/>
      <c r="B3261" s="680"/>
    </row>
    <row r="3262" spans="1:2">
      <c r="A3262" s="126"/>
      <c r="B3262" s="680"/>
    </row>
    <row r="3263" spans="1:2">
      <c r="A3263" s="126"/>
      <c r="B3263" s="680"/>
    </row>
    <row r="3264" spans="1:2">
      <c r="A3264" s="126"/>
      <c r="B3264" s="680"/>
    </row>
    <row r="3265" spans="1:2">
      <c r="A3265" s="126"/>
      <c r="B3265" s="680"/>
    </row>
    <row r="3266" spans="1:2">
      <c r="A3266" s="126"/>
      <c r="B3266" s="680"/>
    </row>
    <row r="3267" spans="1:2">
      <c r="A3267" s="126"/>
      <c r="B3267" s="680"/>
    </row>
    <row r="3268" spans="1:2">
      <c r="A3268" s="126"/>
      <c r="B3268" s="680"/>
    </row>
    <row r="3269" spans="1:2">
      <c r="A3269" s="126"/>
      <c r="B3269" s="680"/>
    </row>
    <row r="3270" spans="1:2">
      <c r="A3270" s="126"/>
      <c r="B3270" s="680"/>
    </row>
    <row r="3271" spans="1:2">
      <c r="A3271" s="126"/>
      <c r="B3271" s="680"/>
    </row>
    <row r="3272" spans="1:2">
      <c r="A3272" s="126"/>
      <c r="B3272" s="680"/>
    </row>
    <row r="3273" spans="1:2">
      <c r="A3273" s="126"/>
      <c r="B3273" s="680"/>
    </row>
    <row r="3274" spans="1:2">
      <c r="A3274" s="126"/>
      <c r="B3274" s="680"/>
    </row>
    <row r="3275" spans="1:2">
      <c r="A3275" s="126"/>
      <c r="B3275" s="680"/>
    </row>
    <row r="3276" spans="1:2">
      <c r="A3276" s="126"/>
      <c r="B3276" s="680"/>
    </row>
    <row r="3277" spans="1:2">
      <c r="A3277" s="126"/>
      <c r="B3277" s="680"/>
    </row>
    <row r="3278" spans="1:2">
      <c r="A3278" s="126"/>
      <c r="B3278" s="680"/>
    </row>
    <row r="3279" spans="1:2">
      <c r="A3279" s="126"/>
      <c r="B3279" s="680"/>
    </row>
    <row r="3280" spans="1:2">
      <c r="A3280" s="126"/>
      <c r="B3280" s="680"/>
    </row>
    <row r="3281" spans="1:2">
      <c r="A3281" s="126"/>
      <c r="B3281" s="680"/>
    </row>
    <row r="3282" spans="1:2">
      <c r="A3282" s="126"/>
      <c r="B3282" s="680"/>
    </row>
    <row r="3283" spans="1:2">
      <c r="A3283" s="126"/>
      <c r="B3283" s="680"/>
    </row>
    <row r="3284" spans="1:2">
      <c r="A3284" s="126"/>
      <c r="B3284" s="680"/>
    </row>
    <row r="3285" spans="1:2">
      <c r="A3285" s="126"/>
      <c r="B3285" s="680"/>
    </row>
    <row r="3286" spans="1:2">
      <c r="A3286" s="126"/>
      <c r="B3286" s="680"/>
    </row>
    <row r="3287" spans="1:2">
      <c r="A3287" s="126"/>
      <c r="B3287" s="680"/>
    </row>
    <row r="3288" spans="1:2">
      <c r="A3288" s="126"/>
      <c r="B3288" s="680"/>
    </row>
    <row r="3289" spans="1:2">
      <c r="A3289" s="126"/>
      <c r="B3289" s="680"/>
    </row>
    <row r="3290" spans="1:2">
      <c r="A3290" s="126"/>
      <c r="B3290" s="680"/>
    </row>
    <row r="3291" spans="1:2">
      <c r="A3291" s="126"/>
      <c r="B3291" s="680"/>
    </row>
    <row r="3292" spans="1:2">
      <c r="A3292" s="126"/>
      <c r="B3292" s="680"/>
    </row>
    <row r="3293" spans="1:2">
      <c r="A3293" s="126"/>
      <c r="B3293" s="680"/>
    </row>
    <row r="3294" spans="1:2">
      <c r="A3294" s="126"/>
      <c r="B3294" s="680"/>
    </row>
    <row r="3295" spans="1:2">
      <c r="A3295" s="126"/>
      <c r="B3295" s="680"/>
    </row>
    <row r="3296" spans="1:2">
      <c r="A3296" s="126"/>
      <c r="B3296" s="680"/>
    </row>
    <row r="3297" spans="1:2">
      <c r="A3297" s="126"/>
      <c r="B3297" s="680"/>
    </row>
    <row r="3298" spans="1:2">
      <c r="A3298" s="126"/>
      <c r="B3298" s="680"/>
    </row>
    <row r="3299" spans="1:2">
      <c r="A3299" s="126"/>
      <c r="B3299" s="680"/>
    </row>
    <row r="3300" spans="1:2">
      <c r="A3300" s="126"/>
      <c r="B3300" s="680"/>
    </row>
    <row r="3301" spans="1:2">
      <c r="A3301" s="126"/>
      <c r="B3301" s="680"/>
    </row>
    <row r="3302" spans="1:2">
      <c r="A3302" s="126"/>
      <c r="B3302" s="680"/>
    </row>
    <row r="3303" spans="1:2">
      <c r="A3303" s="126"/>
      <c r="B3303" s="680"/>
    </row>
    <row r="3304" spans="1:2">
      <c r="A3304" s="126"/>
      <c r="B3304" s="680"/>
    </row>
    <row r="3305" spans="1:2">
      <c r="A3305" s="126"/>
      <c r="B3305" s="680"/>
    </row>
    <row r="3306" spans="1:2">
      <c r="A3306" s="126"/>
      <c r="B3306" s="680"/>
    </row>
    <row r="3307" spans="1:2">
      <c r="A3307" s="126"/>
      <c r="B3307" s="680"/>
    </row>
    <row r="3308" spans="1:2">
      <c r="A3308" s="126"/>
      <c r="B3308" s="680"/>
    </row>
    <row r="3309" spans="1:2">
      <c r="A3309" s="126"/>
      <c r="B3309" s="680"/>
    </row>
    <row r="3310" spans="1:2">
      <c r="A3310" s="126"/>
      <c r="B3310" s="680"/>
    </row>
    <row r="3311" spans="1:2">
      <c r="A3311" s="126"/>
      <c r="B3311" s="680"/>
    </row>
    <row r="3312" spans="1:2">
      <c r="A3312" s="126"/>
      <c r="B3312" s="680"/>
    </row>
    <row r="3313" spans="1:2">
      <c r="A3313" s="126"/>
      <c r="B3313" s="680"/>
    </row>
    <row r="3314" spans="1:2">
      <c r="A3314" s="126"/>
      <c r="B3314" s="680"/>
    </row>
    <row r="3315" spans="1:2">
      <c r="A3315" s="126"/>
      <c r="B3315" s="680"/>
    </row>
    <row r="3316" spans="1:2">
      <c r="A3316" s="126"/>
      <c r="B3316" s="680"/>
    </row>
    <row r="3317" spans="1:2">
      <c r="A3317" s="126"/>
      <c r="B3317" s="680"/>
    </row>
    <row r="3318" spans="1:2">
      <c r="A3318" s="126"/>
      <c r="B3318" s="680"/>
    </row>
    <row r="3319" spans="1:2">
      <c r="A3319" s="126"/>
      <c r="B3319" s="680"/>
    </row>
    <row r="3320" spans="1:2">
      <c r="A3320" s="126"/>
      <c r="B3320" s="680"/>
    </row>
    <row r="3321" spans="1:2">
      <c r="A3321" s="126"/>
      <c r="B3321" s="680"/>
    </row>
    <row r="3322" spans="1:2">
      <c r="A3322" s="126"/>
      <c r="B3322" s="680"/>
    </row>
    <row r="3323" spans="1:2">
      <c r="A3323" s="126"/>
      <c r="B3323" s="680"/>
    </row>
    <row r="3324" spans="1:2">
      <c r="A3324" s="126"/>
      <c r="B3324" s="680"/>
    </row>
    <row r="3325" spans="1:2">
      <c r="A3325" s="126"/>
      <c r="B3325" s="680"/>
    </row>
    <row r="3326" spans="1:2">
      <c r="A3326" s="126"/>
      <c r="B3326" s="680"/>
    </row>
    <row r="3327" spans="1:2">
      <c r="A3327" s="126"/>
      <c r="B3327" s="680"/>
    </row>
    <row r="3328" spans="1:2">
      <c r="A3328" s="126"/>
      <c r="B3328" s="680"/>
    </row>
    <row r="3329" spans="1:2">
      <c r="A3329" s="126"/>
      <c r="B3329" s="680"/>
    </row>
    <row r="3330" spans="1:2">
      <c r="A3330" s="126"/>
      <c r="B3330" s="680"/>
    </row>
    <row r="3331" spans="1:2">
      <c r="A3331" s="126"/>
      <c r="B3331" s="680"/>
    </row>
    <row r="3332" spans="1:2">
      <c r="A3332" s="126"/>
      <c r="B3332" s="680"/>
    </row>
    <row r="3333" spans="1:2">
      <c r="A3333" s="126"/>
      <c r="B3333" s="680"/>
    </row>
    <row r="3334" spans="1:2">
      <c r="A3334" s="126"/>
      <c r="B3334" s="680"/>
    </row>
    <row r="3335" spans="1:2">
      <c r="A3335" s="126"/>
      <c r="B3335" s="680"/>
    </row>
    <row r="3336" spans="1:2">
      <c r="A3336" s="126"/>
      <c r="B3336" s="680"/>
    </row>
    <row r="3337" spans="1:2">
      <c r="A3337" s="126"/>
      <c r="B3337" s="680"/>
    </row>
    <row r="3338" spans="1:2">
      <c r="A3338" s="126"/>
      <c r="B3338" s="680"/>
    </row>
    <row r="3339" spans="1:2">
      <c r="A3339" s="126"/>
      <c r="B3339" s="680"/>
    </row>
    <row r="3340" spans="1:2">
      <c r="A3340" s="126"/>
      <c r="B3340" s="680"/>
    </row>
    <row r="3341" spans="1:2">
      <c r="A3341" s="126"/>
      <c r="B3341" s="680"/>
    </row>
    <row r="3342" spans="1:2">
      <c r="A3342" s="126"/>
      <c r="B3342" s="680"/>
    </row>
    <row r="3343" spans="1:2">
      <c r="A3343" s="126"/>
      <c r="B3343" s="680"/>
    </row>
    <row r="3344" spans="1:2">
      <c r="A3344" s="126"/>
      <c r="B3344" s="680"/>
    </row>
    <row r="3345" spans="1:2">
      <c r="A3345" s="126"/>
      <c r="B3345" s="680"/>
    </row>
    <row r="3346" spans="1:2">
      <c r="A3346" s="126"/>
      <c r="B3346" s="680"/>
    </row>
    <row r="3347" spans="1:2">
      <c r="A3347" s="126"/>
      <c r="B3347" s="680"/>
    </row>
    <row r="3348" spans="1:2">
      <c r="A3348" s="126"/>
      <c r="B3348" s="680"/>
    </row>
    <row r="3349" spans="1:2">
      <c r="A3349" s="126"/>
      <c r="B3349" s="680"/>
    </row>
    <row r="3350" spans="1:2">
      <c r="A3350" s="126"/>
      <c r="B3350" s="680"/>
    </row>
    <row r="3351" spans="1:2">
      <c r="A3351" s="126"/>
      <c r="B3351" s="680"/>
    </row>
    <row r="3352" spans="1:2">
      <c r="A3352" s="126"/>
      <c r="B3352" s="680"/>
    </row>
    <row r="3353" spans="1:2">
      <c r="A3353" s="126"/>
      <c r="B3353" s="680"/>
    </row>
    <row r="3354" spans="1:2">
      <c r="A3354" s="126"/>
      <c r="B3354" s="680"/>
    </row>
    <row r="3355" spans="1:2">
      <c r="A3355" s="126"/>
      <c r="B3355" s="680"/>
    </row>
    <row r="3356" spans="1:2">
      <c r="A3356" s="126"/>
      <c r="B3356" s="680"/>
    </row>
    <row r="3357" spans="1:2">
      <c r="A3357" s="126"/>
      <c r="B3357" s="680"/>
    </row>
    <row r="3358" spans="1:2">
      <c r="A3358" s="126"/>
      <c r="B3358" s="680"/>
    </row>
    <row r="3359" spans="1:2">
      <c r="A3359" s="126"/>
      <c r="B3359" s="680"/>
    </row>
    <row r="3360" spans="1:2">
      <c r="A3360" s="126"/>
      <c r="B3360" s="680"/>
    </row>
    <row r="3361" spans="1:2">
      <c r="A3361" s="126"/>
      <c r="B3361" s="680"/>
    </row>
    <row r="3362" spans="1:2">
      <c r="A3362" s="126"/>
      <c r="B3362" s="680"/>
    </row>
    <row r="3363" spans="1:2">
      <c r="A3363" s="126"/>
      <c r="B3363" s="680"/>
    </row>
    <row r="3364" spans="1:2">
      <c r="A3364" s="126"/>
      <c r="B3364" s="680"/>
    </row>
    <row r="3365" spans="1:2">
      <c r="A3365" s="126"/>
      <c r="B3365" s="680"/>
    </row>
    <row r="3366" spans="1:2">
      <c r="A3366" s="126"/>
      <c r="B3366" s="680"/>
    </row>
    <row r="3367" spans="1:2">
      <c r="A3367" s="126"/>
      <c r="B3367" s="680"/>
    </row>
    <row r="3368" spans="1:2">
      <c r="A3368" s="126"/>
      <c r="B3368" s="680"/>
    </row>
    <row r="3369" spans="1:2">
      <c r="A3369" s="126"/>
      <c r="B3369" s="680"/>
    </row>
    <row r="3370" spans="1:2">
      <c r="A3370" s="126"/>
      <c r="B3370" s="680"/>
    </row>
    <row r="3371" spans="1:2">
      <c r="A3371" s="126"/>
      <c r="B3371" s="680"/>
    </row>
    <row r="3372" spans="1:2">
      <c r="A3372" s="126"/>
      <c r="B3372" s="680"/>
    </row>
    <row r="3373" spans="1:2">
      <c r="A3373" s="126"/>
      <c r="B3373" s="680"/>
    </row>
    <row r="3374" spans="1:2">
      <c r="A3374" s="126"/>
      <c r="B3374" s="680"/>
    </row>
    <row r="3375" spans="1:2">
      <c r="A3375" s="126"/>
      <c r="B3375" s="680"/>
    </row>
    <row r="3376" spans="1:2">
      <c r="A3376" s="126"/>
      <c r="B3376" s="680"/>
    </row>
    <row r="3377" spans="1:2">
      <c r="A3377" s="126"/>
      <c r="B3377" s="680"/>
    </row>
    <row r="3378" spans="1:2">
      <c r="A3378" s="126"/>
      <c r="B3378" s="680"/>
    </row>
    <row r="3379" spans="1:2">
      <c r="A3379" s="126"/>
      <c r="B3379" s="680"/>
    </row>
    <row r="3380" spans="1:2">
      <c r="A3380" s="126"/>
      <c r="B3380" s="680"/>
    </row>
    <row r="3381" spans="1:2">
      <c r="A3381" s="126"/>
      <c r="B3381" s="680"/>
    </row>
    <row r="3382" spans="1:2">
      <c r="A3382" s="126"/>
      <c r="B3382" s="680"/>
    </row>
    <row r="3383" spans="1:2">
      <c r="A3383" s="126"/>
      <c r="B3383" s="680"/>
    </row>
    <row r="3384" spans="1:2">
      <c r="A3384" s="126"/>
      <c r="B3384" s="680"/>
    </row>
    <row r="3385" spans="1:2">
      <c r="A3385" s="126"/>
      <c r="B3385" s="680"/>
    </row>
    <row r="3386" spans="1:2">
      <c r="A3386" s="126"/>
      <c r="B3386" s="680"/>
    </row>
    <row r="3387" spans="1:2">
      <c r="A3387" s="126"/>
      <c r="B3387" s="680"/>
    </row>
    <row r="3388" spans="1:2">
      <c r="A3388" s="126"/>
      <c r="B3388" s="680"/>
    </row>
    <row r="3389" spans="1:2">
      <c r="A3389" s="126"/>
      <c r="B3389" s="680"/>
    </row>
    <row r="3390" spans="1:2">
      <c r="A3390" s="126"/>
      <c r="B3390" s="680"/>
    </row>
    <row r="3391" spans="1:2">
      <c r="A3391" s="126"/>
      <c r="B3391" s="680"/>
    </row>
    <row r="3392" spans="1:2">
      <c r="A3392" s="126"/>
      <c r="B3392" s="680"/>
    </row>
    <row r="3393" spans="1:2">
      <c r="A3393" s="126"/>
      <c r="B3393" s="680"/>
    </row>
    <row r="3394" spans="1:2">
      <c r="A3394" s="126"/>
      <c r="B3394" s="680"/>
    </row>
    <row r="3395" spans="1:2">
      <c r="A3395" s="126"/>
      <c r="B3395" s="680"/>
    </row>
    <row r="3396" spans="1:2">
      <c r="A3396" s="126"/>
      <c r="B3396" s="680"/>
    </row>
    <row r="3397" spans="1:2">
      <c r="A3397" s="126"/>
      <c r="B3397" s="680"/>
    </row>
    <row r="3398" spans="1:2">
      <c r="A3398" s="126"/>
      <c r="B3398" s="680"/>
    </row>
    <row r="3399" spans="1:2">
      <c r="A3399" s="126"/>
      <c r="B3399" s="680"/>
    </row>
    <row r="3400" spans="1:2">
      <c r="A3400" s="126"/>
      <c r="B3400" s="680"/>
    </row>
    <row r="3401" spans="1:2">
      <c r="A3401" s="126"/>
      <c r="B3401" s="680"/>
    </row>
    <row r="3402" spans="1:2">
      <c r="A3402" s="126"/>
      <c r="B3402" s="680"/>
    </row>
    <row r="3403" spans="1:2">
      <c r="A3403" s="126"/>
      <c r="B3403" s="680"/>
    </row>
    <row r="3404" spans="1:2">
      <c r="A3404" s="126"/>
      <c r="B3404" s="680"/>
    </row>
    <row r="3405" spans="1:2">
      <c r="A3405" s="126"/>
      <c r="B3405" s="680"/>
    </row>
    <row r="3406" spans="1:2">
      <c r="A3406" s="126"/>
      <c r="B3406" s="680"/>
    </row>
    <row r="3407" spans="1:2">
      <c r="A3407" s="126"/>
      <c r="B3407" s="680"/>
    </row>
    <row r="3408" spans="1:2">
      <c r="A3408" s="126"/>
      <c r="B3408" s="680"/>
    </row>
    <row r="3409" spans="1:2">
      <c r="A3409" s="126"/>
      <c r="B3409" s="680"/>
    </row>
    <row r="3410" spans="1:2">
      <c r="A3410" s="126"/>
      <c r="B3410" s="680"/>
    </row>
    <row r="3411" spans="1:2">
      <c r="A3411" s="126"/>
      <c r="B3411" s="680"/>
    </row>
    <row r="3412" spans="1:2">
      <c r="A3412" s="126"/>
      <c r="B3412" s="680"/>
    </row>
    <row r="3413" spans="1:2">
      <c r="A3413" s="126"/>
      <c r="B3413" s="680"/>
    </row>
    <row r="3414" spans="1:2">
      <c r="A3414" s="126"/>
      <c r="B3414" s="680"/>
    </row>
    <row r="3415" spans="1:2">
      <c r="A3415" s="126"/>
      <c r="B3415" s="680"/>
    </row>
    <row r="3416" spans="1:2">
      <c r="A3416" s="126"/>
      <c r="B3416" s="680"/>
    </row>
    <row r="3417" spans="1:2">
      <c r="A3417" s="126"/>
      <c r="B3417" s="680"/>
    </row>
    <row r="3418" spans="1:2">
      <c r="A3418" s="126"/>
      <c r="B3418" s="680"/>
    </row>
    <row r="3419" spans="1:2">
      <c r="A3419" s="126"/>
      <c r="B3419" s="680"/>
    </row>
    <row r="3420" spans="1:2">
      <c r="A3420" s="126"/>
      <c r="B3420" s="680"/>
    </row>
    <row r="3421" spans="1:2">
      <c r="A3421" s="126"/>
      <c r="B3421" s="680"/>
    </row>
    <row r="3422" spans="1:2">
      <c r="A3422" s="126"/>
      <c r="B3422" s="680"/>
    </row>
    <row r="3423" spans="1:2">
      <c r="A3423" s="126"/>
      <c r="B3423" s="680"/>
    </row>
    <row r="3424" spans="1:2">
      <c r="A3424" s="126"/>
      <c r="B3424" s="680"/>
    </row>
    <row r="3425" spans="1:2">
      <c r="A3425" s="126"/>
      <c r="B3425" s="680"/>
    </row>
    <row r="3426" spans="1:2">
      <c r="A3426" s="126"/>
      <c r="B3426" s="680"/>
    </row>
    <row r="3427" spans="1:2">
      <c r="A3427" s="126"/>
      <c r="B3427" s="680"/>
    </row>
    <row r="3428" spans="1:2">
      <c r="A3428" s="126"/>
      <c r="B3428" s="680"/>
    </row>
    <row r="3429" spans="1:2">
      <c r="A3429" s="126"/>
      <c r="B3429" s="680"/>
    </row>
    <row r="3430" spans="1:2">
      <c r="A3430" s="126"/>
      <c r="B3430" s="680"/>
    </row>
    <row r="3431" spans="1:2">
      <c r="A3431" s="126"/>
      <c r="B3431" s="680"/>
    </row>
    <row r="3432" spans="1:2">
      <c r="A3432" s="126"/>
      <c r="B3432" s="680"/>
    </row>
    <row r="3433" spans="1:2">
      <c r="A3433" s="126"/>
      <c r="B3433" s="680"/>
    </row>
    <row r="3434" spans="1:2">
      <c r="A3434" s="126"/>
      <c r="B3434" s="680"/>
    </row>
    <row r="3435" spans="1:2">
      <c r="A3435" s="126"/>
      <c r="B3435" s="680"/>
    </row>
    <row r="3436" spans="1:2">
      <c r="A3436" s="126"/>
      <c r="B3436" s="680"/>
    </row>
    <row r="3437" spans="1:2">
      <c r="A3437" s="126"/>
      <c r="B3437" s="680"/>
    </row>
    <row r="3438" spans="1:2">
      <c r="A3438" s="126"/>
      <c r="B3438" s="680"/>
    </row>
    <row r="3439" spans="1:2">
      <c r="A3439" s="126"/>
      <c r="B3439" s="680"/>
    </row>
    <row r="3440" spans="1:2">
      <c r="A3440" s="126"/>
      <c r="B3440" s="680"/>
    </row>
    <row r="3441" spans="1:2">
      <c r="A3441" s="126"/>
      <c r="B3441" s="680"/>
    </row>
    <row r="3442" spans="1:2">
      <c r="A3442" s="126"/>
      <c r="B3442" s="680"/>
    </row>
    <row r="3443" spans="1:2">
      <c r="A3443" s="126"/>
      <c r="B3443" s="680"/>
    </row>
    <row r="3444" spans="1:2">
      <c r="A3444" s="126"/>
      <c r="B3444" s="680"/>
    </row>
    <row r="3445" spans="1:2">
      <c r="A3445" s="126"/>
      <c r="B3445" s="680"/>
    </row>
    <row r="3446" spans="1:2">
      <c r="A3446" s="126"/>
      <c r="B3446" s="680"/>
    </row>
    <row r="3447" spans="1:2">
      <c r="A3447" s="126"/>
      <c r="B3447" s="680"/>
    </row>
    <row r="3448" spans="1:2">
      <c r="A3448" s="126"/>
      <c r="B3448" s="680"/>
    </row>
    <row r="3449" spans="1:2">
      <c r="A3449" s="126"/>
      <c r="B3449" s="680"/>
    </row>
    <row r="3450" spans="1:2">
      <c r="A3450" s="126"/>
      <c r="B3450" s="680"/>
    </row>
    <row r="3451" spans="1:2">
      <c r="A3451" s="126"/>
      <c r="B3451" s="680"/>
    </row>
    <row r="3452" spans="1:2">
      <c r="A3452" s="126"/>
      <c r="B3452" s="680"/>
    </row>
    <row r="3453" spans="1:2">
      <c r="A3453" s="126"/>
      <c r="B3453" s="680"/>
    </row>
    <row r="3454" spans="1:2">
      <c r="A3454" s="126"/>
      <c r="B3454" s="680"/>
    </row>
    <row r="3455" spans="1:2">
      <c r="A3455" s="126"/>
      <c r="B3455" s="680"/>
    </row>
    <row r="3456" spans="1:2">
      <c r="A3456" s="126"/>
      <c r="B3456" s="680"/>
    </row>
    <row r="3457" spans="1:2">
      <c r="A3457" s="126"/>
      <c r="B3457" s="680"/>
    </row>
    <row r="3458" spans="1:2">
      <c r="A3458" s="126"/>
      <c r="B3458" s="680"/>
    </row>
    <row r="3459" spans="1:2">
      <c r="A3459" s="126"/>
      <c r="B3459" s="680"/>
    </row>
    <row r="3460" spans="1:2">
      <c r="A3460" s="126"/>
      <c r="B3460" s="680"/>
    </row>
    <row r="3461" spans="1:2">
      <c r="A3461" s="126"/>
      <c r="B3461" s="680"/>
    </row>
    <row r="3462" spans="1:2">
      <c r="A3462" s="126"/>
      <c r="B3462" s="680"/>
    </row>
    <row r="3463" spans="1:2">
      <c r="A3463" s="126"/>
      <c r="B3463" s="680"/>
    </row>
    <row r="3464" spans="1:2">
      <c r="A3464" s="126"/>
      <c r="B3464" s="680"/>
    </row>
    <row r="3465" spans="1:2">
      <c r="A3465" s="126"/>
      <c r="B3465" s="680"/>
    </row>
    <row r="3466" spans="1:2">
      <c r="A3466" s="126"/>
      <c r="B3466" s="680"/>
    </row>
    <row r="3467" spans="1:2">
      <c r="A3467" s="126"/>
      <c r="B3467" s="680"/>
    </row>
    <row r="3468" spans="1:2">
      <c r="A3468" s="126"/>
      <c r="B3468" s="680"/>
    </row>
    <row r="3469" spans="1:2">
      <c r="A3469" s="126"/>
      <c r="B3469" s="680"/>
    </row>
    <row r="3470" spans="1:2">
      <c r="A3470" s="126"/>
      <c r="B3470" s="680"/>
    </row>
    <row r="3471" spans="1:2">
      <c r="A3471" s="126"/>
      <c r="B3471" s="680"/>
    </row>
    <row r="3472" spans="1:2">
      <c r="A3472" s="126"/>
      <c r="B3472" s="680"/>
    </row>
    <row r="3473" spans="1:2">
      <c r="A3473" s="126"/>
      <c r="B3473" s="680"/>
    </row>
    <row r="3474" spans="1:2">
      <c r="A3474" s="126"/>
      <c r="B3474" s="680"/>
    </row>
    <row r="3475" spans="1:2">
      <c r="A3475" s="126"/>
      <c r="B3475" s="680"/>
    </row>
    <row r="3476" spans="1:2">
      <c r="A3476" s="126"/>
      <c r="B3476" s="680"/>
    </row>
    <row r="3477" spans="1:2">
      <c r="A3477" s="126"/>
      <c r="B3477" s="680"/>
    </row>
    <row r="3478" spans="1:2">
      <c r="A3478" s="126"/>
      <c r="B3478" s="680"/>
    </row>
    <row r="3479" spans="1:2">
      <c r="A3479" s="126"/>
      <c r="B3479" s="680"/>
    </row>
    <row r="3480" spans="1:2">
      <c r="A3480" s="126"/>
      <c r="B3480" s="680"/>
    </row>
    <row r="3481" spans="1:2">
      <c r="A3481" s="126"/>
      <c r="B3481" s="680"/>
    </row>
    <row r="3482" spans="1:2">
      <c r="A3482" s="126"/>
      <c r="B3482" s="680"/>
    </row>
    <row r="3483" spans="1:2">
      <c r="A3483" s="126"/>
      <c r="B3483" s="680"/>
    </row>
    <row r="3484" spans="1:2">
      <c r="A3484" s="126"/>
      <c r="B3484" s="680"/>
    </row>
    <row r="3485" spans="1:2">
      <c r="A3485" s="126"/>
      <c r="B3485" s="680"/>
    </row>
    <row r="3486" spans="1:2">
      <c r="A3486" s="126"/>
      <c r="B3486" s="680"/>
    </row>
    <row r="3487" spans="1:2">
      <c r="A3487" s="126"/>
      <c r="B3487" s="680"/>
    </row>
    <row r="3488" spans="1:2">
      <c r="A3488" s="126"/>
      <c r="B3488" s="680"/>
    </row>
    <row r="3489" spans="1:2">
      <c r="A3489" s="126"/>
      <c r="B3489" s="680"/>
    </row>
    <row r="3490" spans="1:2">
      <c r="A3490" s="126"/>
      <c r="B3490" s="680"/>
    </row>
    <row r="3491" spans="1:2">
      <c r="A3491" s="126"/>
      <c r="B3491" s="680"/>
    </row>
    <row r="3492" spans="1:2">
      <c r="A3492" s="126"/>
      <c r="B3492" s="680"/>
    </row>
    <row r="3493" spans="1:2">
      <c r="A3493" s="126"/>
      <c r="B3493" s="680"/>
    </row>
    <row r="3494" spans="1:2">
      <c r="A3494" s="126"/>
      <c r="B3494" s="680"/>
    </row>
    <row r="3495" spans="1:2">
      <c r="A3495" s="126"/>
      <c r="B3495" s="680"/>
    </row>
    <row r="3496" spans="1:2">
      <c r="A3496" s="126"/>
      <c r="B3496" s="680"/>
    </row>
    <row r="3497" spans="1:2">
      <c r="A3497" s="126"/>
      <c r="B3497" s="680"/>
    </row>
    <row r="3498" spans="1:2">
      <c r="A3498" s="126"/>
      <c r="B3498" s="680"/>
    </row>
    <row r="3499" spans="1:2">
      <c r="A3499" s="126"/>
      <c r="B3499" s="680"/>
    </row>
    <row r="3500" spans="1:2">
      <c r="A3500" s="126"/>
      <c r="B3500" s="680"/>
    </row>
    <row r="3501" spans="1:2">
      <c r="A3501" s="126"/>
      <c r="B3501" s="680"/>
    </row>
    <row r="3502" spans="1:2">
      <c r="A3502" s="126"/>
      <c r="B3502" s="680"/>
    </row>
    <row r="3503" spans="1:2">
      <c r="A3503" s="126"/>
      <c r="B3503" s="680"/>
    </row>
    <row r="3504" spans="1:2">
      <c r="A3504" s="126"/>
      <c r="B3504" s="680"/>
    </row>
    <row r="3505" spans="1:2">
      <c r="A3505" s="126"/>
      <c r="B3505" s="680"/>
    </row>
    <row r="3506" spans="1:2">
      <c r="A3506" s="126"/>
      <c r="B3506" s="680"/>
    </row>
    <row r="3507" spans="1:2">
      <c r="A3507" s="126"/>
      <c r="B3507" s="680"/>
    </row>
    <row r="3508" spans="1:2">
      <c r="A3508" s="126"/>
      <c r="B3508" s="680"/>
    </row>
    <row r="3509" spans="1:2">
      <c r="A3509" s="126"/>
      <c r="B3509" s="680"/>
    </row>
    <row r="3510" spans="1:2">
      <c r="A3510" s="126"/>
      <c r="B3510" s="680"/>
    </row>
    <row r="3511" spans="1:2">
      <c r="A3511" s="126"/>
      <c r="B3511" s="680"/>
    </row>
    <row r="3512" spans="1:2">
      <c r="A3512" s="126"/>
      <c r="B3512" s="680"/>
    </row>
    <row r="3513" spans="1:2">
      <c r="A3513" s="126"/>
      <c r="B3513" s="680"/>
    </row>
    <row r="3514" spans="1:2">
      <c r="A3514" s="126"/>
      <c r="B3514" s="680"/>
    </row>
    <row r="3515" spans="1:2">
      <c r="A3515" s="126"/>
      <c r="B3515" s="680"/>
    </row>
    <row r="3516" spans="1:2">
      <c r="A3516" s="126"/>
      <c r="B3516" s="680"/>
    </row>
    <row r="3517" spans="1:2">
      <c r="A3517" s="126"/>
      <c r="B3517" s="680"/>
    </row>
    <row r="3518" spans="1:2">
      <c r="A3518" s="126"/>
      <c r="B3518" s="680"/>
    </row>
    <row r="3519" spans="1:2">
      <c r="A3519" s="126"/>
      <c r="B3519" s="680"/>
    </row>
    <row r="3520" spans="1:2">
      <c r="A3520" s="126"/>
      <c r="B3520" s="680"/>
    </row>
    <row r="3521" spans="1:2">
      <c r="A3521" s="126"/>
      <c r="B3521" s="680"/>
    </row>
    <row r="3522" spans="1:2">
      <c r="A3522" s="126"/>
      <c r="B3522" s="680"/>
    </row>
    <row r="3523" spans="1:2">
      <c r="A3523" s="126"/>
      <c r="B3523" s="680"/>
    </row>
    <row r="3524" spans="1:2">
      <c r="A3524" s="126"/>
      <c r="B3524" s="680"/>
    </row>
    <row r="3525" spans="1:2">
      <c r="A3525" s="126"/>
      <c r="B3525" s="680"/>
    </row>
    <row r="3526" spans="1:2">
      <c r="A3526" s="126"/>
      <c r="B3526" s="680"/>
    </row>
    <row r="3527" spans="1:2">
      <c r="A3527" s="126"/>
      <c r="B3527" s="680"/>
    </row>
    <row r="3528" spans="1:2">
      <c r="A3528" s="126"/>
      <c r="B3528" s="680"/>
    </row>
    <row r="3529" spans="1:2">
      <c r="A3529" s="126"/>
      <c r="B3529" s="680"/>
    </row>
    <row r="3530" spans="1:2">
      <c r="A3530" s="126"/>
      <c r="B3530" s="680"/>
    </row>
    <row r="3531" spans="1:2">
      <c r="A3531" s="126"/>
      <c r="B3531" s="680"/>
    </row>
    <row r="3532" spans="1:2">
      <c r="A3532" s="126"/>
      <c r="B3532" s="680"/>
    </row>
    <row r="3533" spans="1:2">
      <c r="A3533" s="126"/>
      <c r="B3533" s="680"/>
    </row>
    <row r="3534" spans="1:2">
      <c r="A3534" s="126"/>
      <c r="B3534" s="680"/>
    </row>
    <row r="3535" spans="1:2">
      <c r="A3535" s="126"/>
      <c r="B3535" s="680"/>
    </row>
    <row r="3536" spans="1:2">
      <c r="A3536" s="126"/>
      <c r="B3536" s="680"/>
    </row>
    <row r="3537" spans="1:2">
      <c r="A3537" s="126"/>
      <c r="B3537" s="680"/>
    </row>
    <row r="3538" spans="1:2">
      <c r="A3538" s="126"/>
      <c r="B3538" s="680"/>
    </row>
    <row r="3539" spans="1:2">
      <c r="A3539" s="126"/>
      <c r="B3539" s="680"/>
    </row>
    <row r="3540" spans="1:2">
      <c r="A3540" s="126"/>
      <c r="B3540" s="680"/>
    </row>
    <row r="3541" spans="1:2">
      <c r="A3541" s="126"/>
      <c r="B3541" s="680"/>
    </row>
    <row r="3542" spans="1:2">
      <c r="A3542" s="126"/>
      <c r="B3542" s="680"/>
    </row>
    <row r="3543" spans="1:2">
      <c r="A3543" s="126"/>
      <c r="B3543" s="680"/>
    </row>
    <row r="3544" spans="1:2">
      <c r="A3544" s="126"/>
      <c r="B3544" s="680"/>
    </row>
    <row r="3545" spans="1:2">
      <c r="A3545" s="126"/>
      <c r="B3545" s="680"/>
    </row>
    <row r="3546" spans="1:2">
      <c r="A3546" s="126"/>
      <c r="B3546" s="680"/>
    </row>
    <row r="3547" spans="1:2">
      <c r="A3547" s="126"/>
      <c r="B3547" s="680"/>
    </row>
    <row r="3548" spans="1:2">
      <c r="A3548" s="126"/>
      <c r="B3548" s="680"/>
    </row>
    <row r="3549" spans="1:2">
      <c r="A3549" s="126"/>
      <c r="B3549" s="680"/>
    </row>
    <row r="3550" spans="1:2">
      <c r="A3550" s="126"/>
      <c r="B3550" s="680"/>
    </row>
    <row r="3551" spans="1:2">
      <c r="A3551" s="126"/>
      <c r="B3551" s="680"/>
    </row>
    <row r="3552" spans="1:2">
      <c r="A3552" s="126"/>
      <c r="B3552" s="680"/>
    </row>
    <row r="3553" spans="1:2">
      <c r="A3553" s="126"/>
      <c r="B3553" s="680"/>
    </row>
    <row r="3554" spans="1:2">
      <c r="A3554" s="126"/>
      <c r="B3554" s="680"/>
    </row>
    <row r="3555" spans="1:2">
      <c r="A3555" s="126"/>
      <c r="B3555" s="680"/>
    </row>
    <row r="3556" spans="1:2">
      <c r="A3556" s="126"/>
      <c r="B3556" s="680"/>
    </row>
    <row r="3557" spans="1:2">
      <c r="A3557" s="126"/>
      <c r="B3557" s="680"/>
    </row>
    <row r="3558" spans="1:2">
      <c r="A3558" s="126"/>
      <c r="B3558" s="680"/>
    </row>
    <row r="3559" spans="1:2">
      <c r="A3559" s="126"/>
      <c r="B3559" s="680"/>
    </row>
    <row r="3560" spans="1:2">
      <c r="A3560" s="126"/>
      <c r="B3560" s="680"/>
    </row>
    <row r="3561" spans="1:2">
      <c r="A3561" s="126"/>
      <c r="B3561" s="680"/>
    </row>
    <row r="3562" spans="1:2">
      <c r="A3562" s="126"/>
      <c r="B3562" s="680"/>
    </row>
    <row r="3563" spans="1:2">
      <c r="A3563" s="126"/>
      <c r="B3563" s="680"/>
    </row>
    <row r="3564" spans="1:2">
      <c r="A3564" s="126"/>
      <c r="B3564" s="680"/>
    </row>
    <row r="3565" spans="1:2">
      <c r="A3565" s="126"/>
      <c r="B3565" s="680"/>
    </row>
    <row r="3566" spans="1:2">
      <c r="A3566" s="126"/>
      <c r="B3566" s="680"/>
    </row>
    <row r="3567" spans="1:2">
      <c r="A3567" s="126"/>
      <c r="B3567" s="680"/>
    </row>
    <row r="3568" spans="1:2">
      <c r="A3568" s="126"/>
      <c r="B3568" s="680"/>
    </row>
    <row r="3569" spans="1:2">
      <c r="A3569" s="126"/>
      <c r="B3569" s="680"/>
    </row>
    <row r="3570" spans="1:2">
      <c r="A3570" s="126"/>
      <c r="B3570" s="680"/>
    </row>
    <row r="3571" spans="1:2">
      <c r="A3571" s="126"/>
      <c r="B3571" s="680"/>
    </row>
    <row r="3572" spans="1:2">
      <c r="A3572" s="126"/>
      <c r="B3572" s="680"/>
    </row>
    <row r="3573" spans="1:2">
      <c r="A3573" s="126"/>
      <c r="B3573" s="680"/>
    </row>
    <row r="3574" spans="1:2">
      <c r="A3574" s="126"/>
      <c r="B3574" s="680"/>
    </row>
    <row r="3575" spans="1:2">
      <c r="A3575" s="126"/>
      <c r="B3575" s="680"/>
    </row>
    <row r="3576" spans="1:2">
      <c r="A3576" s="126"/>
      <c r="B3576" s="680"/>
    </row>
    <row r="3577" spans="1:2">
      <c r="A3577" s="126"/>
      <c r="B3577" s="680"/>
    </row>
    <row r="3578" spans="1:2">
      <c r="A3578" s="126"/>
      <c r="B3578" s="680"/>
    </row>
    <row r="3579" spans="1:2">
      <c r="A3579" s="126"/>
      <c r="B3579" s="680"/>
    </row>
    <row r="3580" spans="1:2">
      <c r="A3580" s="126"/>
      <c r="B3580" s="680"/>
    </row>
    <row r="3581" spans="1:2">
      <c r="A3581" s="126"/>
      <c r="B3581" s="680"/>
    </row>
    <row r="3582" spans="1:2">
      <c r="A3582" s="126"/>
      <c r="B3582" s="680"/>
    </row>
    <row r="3583" spans="1:2">
      <c r="A3583" s="126"/>
      <c r="B3583" s="680"/>
    </row>
    <row r="3584" spans="1:2">
      <c r="A3584" s="126"/>
      <c r="B3584" s="680"/>
    </row>
    <row r="3585" spans="1:2">
      <c r="A3585" s="126"/>
      <c r="B3585" s="680"/>
    </row>
    <row r="3586" spans="1:2">
      <c r="A3586" s="126"/>
      <c r="B3586" s="680"/>
    </row>
    <row r="3587" spans="1:2">
      <c r="A3587" s="126"/>
      <c r="B3587" s="680"/>
    </row>
    <row r="3588" spans="1:2">
      <c r="A3588" s="126"/>
      <c r="B3588" s="680"/>
    </row>
    <row r="3589" spans="1:2">
      <c r="A3589" s="126"/>
      <c r="B3589" s="680"/>
    </row>
    <row r="3590" spans="1:2">
      <c r="A3590" s="126"/>
      <c r="B3590" s="680"/>
    </row>
    <row r="3591" spans="1:2">
      <c r="A3591" s="126"/>
      <c r="B3591" s="680"/>
    </row>
    <row r="3592" spans="1:2">
      <c r="A3592" s="126"/>
      <c r="B3592" s="680"/>
    </row>
    <row r="3593" spans="1:2">
      <c r="A3593" s="126"/>
      <c r="B3593" s="680"/>
    </row>
    <row r="3594" spans="1:2">
      <c r="A3594" s="126"/>
      <c r="B3594" s="680"/>
    </row>
    <row r="3595" spans="1:2">
      <c r="A3595" s="126"/>
      <c r="B3595" s="680"/>
    </row>
    <row r="3596" spans="1:2">
      <c r="A3596" s="126"/>
      <c r="B3596" s="680"/>
    </row>
    <row r="3597" spans="1:2">
      <c r="A3597" s="126"/>
      <c r="B3597" s="680"/>
    </row>
    <row r="3598" spans="1:2">
      <c r="A3598" s="126"/>
      <c r="B3598" s="680"/>
    </row>
    <row r="3599" spans="1:2">
      <c r="A3599" s="126"/>
      <c r="B3599" s="680"/>
    </row>
    <row r="3600" spans="1:2">
      <c r="A3600" s="126"/>
      <c r="B3600" s="680"/>
    </row>
    <row r="3601" spans="1:2">
      <c r="A3601" s="126"/>
      <c r="B3601" s="680"/>
    </row>
    <row r="3602" spans="1:2">
      <c r="A3602" s="126"/>
      <c r="B3602" s="680"/>
    </row>
    <row r="3603" spans="1:2">
      <c r="A3603" s="126"/>
      <c r="B3603" s="680"/>
    </row>
    <row r="3604" spans="1:2">
      <c r="A3604" s="126"/>
      <c r="B3604" s="680"/>
    </row>
    <row r="3605" spans="1:2">
      <c r="A3605" s="126"/>
      <c r="B3605" s="680"/>
    </row>
    <row r="3606" spans="1:2">
      <c r="A3606" s="126"/>
      <c r="B3606" s="680"/>
    </row>
    <row r="3607" spans="1:2">
      <c r="A3607" s="126"/>
      <c r="B3607" s="680"/>
    </row>
    <row r="3608" spans="1:2">
      <c r="A3608" s="126"/>
      <c r="B3608" s="680"/>
    </row>
    <row r="3609" spans="1:2">
      <c r="A3609" s="126"/>
      <c r="B3609" s="680"/>
    </row>
    <row r="3610" spans="1:2">
      <c r="A3610" s="126"/>
      <c r="B3610" s="680"/>
    </row>
    <row r="3611" spans="1:2">
      <c r="A3611" s="126"/>
      <c r="B3611" s="680"/>
    </row>
    <row r="3612" spans="1:2">
      <c r="A3612" s="126"/>
      <c r="B3612" s="680"/>
    </row>
    <row r="3613" spans="1:2">
      <c r="A3613" s="126"/>
      <c r="B3613" s="680"/>
    </row>
    <row r="3614" spans="1:2">
      <c r="A3614" s="126"/>
      <c r="B3614" s="680"/>
    </row>
    <row r="3615" spans="1:2">
      <c r="A3615" s="126"/>
      <c r="B3615" s="680"/>
    </row>
    <row r="3616" spans="1:2">
      <c r="A3616" s="126"/>
      <c r="B3616" s="680"/>
    </row>
    <row r="3617" spans="1:2">
      <c r="A3617" s="126"/>
      <c r="B3617" s="680"/>
    </row>
    <row r="3618" spans="1:2">
      <c r="A3618" s="126"/>
      <c r="B3618" s="680"/>
    </row>
    <row r="3619" spans="1:2">
      <c r="A3619" s="126"/>
      <c r="B3619" s="680"/>
    </row>
    <row r="3620" spans="1:2">
      <c r="A3620" s="126"/>
      <c r="B3620" s="680"/>
    </row>
    <row r="3621" spans="1:2">
      <c r="A3621" s="126"/>
      <c r="B3621" s="680"/>
    </row>
    <row r="3622" spans="1:2">
      <c r="A3622" s="126"/>
      <c r="B3622" s="680"/>
    </row>
    <row r="3623" spans="1:2">
      <c r="A3623" s="126"/>
      <c r="B3623" s="680"/>
    </row>
    <row r="3624" spans="1:2">
      <c r="A3624" s="126"/>
      <c r="B3624" s="680"/>
    </row>
    <row r="3625" spans="1:2">
      <c r="A3625" s="126"/>
      <c r="B3625" s="680"/>
    </row>
    <row r="3626" spans="1:2">
      <c r="A3626" s="126"/>
      <c r="B3626" s="680"/>
    </row>
    <row r="3627" spans="1:2">
      <c r="A3627" s="126"/>
      <c r="B3627" s="680"/>
    </row>
    <row r="3628" spans="1:2">
      <c r="A3628" s="126"/>
      <c r="B3628" s="680"/>
    </row>
    <row r="3629" spans="1:2">
      <c r="A3629" s="126"/>
      <c r="B3629" s="680"/>
    </row>
    <row r="3630" spans="1:2">
      <c r="A3630" s="126"/>
      <c r="B3630" s="680"/>
    </row>
    <row r="3631" spans="1:2">
      <c r="A3631" s="126"/>
      <c r="B3631" s="680"/>
    </row>
    <row r="3632" spans="1:2">
      <c r="A3632" s="126"/>
      <c r="B3632" s="680"/>
    </row>
    <row r="3633" spans="1:2">
      <c r="A3633" s="126"/>
      <c r="B3633" s="680"/>
    </row>
    <row r="3634" spans="1:2">
      <c r="A3634" s="126"/>
      <c r="B3634" s="680"/>
    </row>
    <row r="3635" spans="1:2">
      <c r="A3635" s="126"/>
      <c r="B3635" s="680"/>
    </row>
    <row r="3636" spans="1:2">
      <c r="A3636" s="126"/>
      <c r="B3636" s="680"/>
    </row>
    <row r="3637" spans="1:2">
      <c r="A3637" s="126"/>
      <c r="B3637" s="680"/>
    </row>
    <row r="3638" spans="1:2">
      <c r="A3638" s="126"/>
      <c r="B3638" s="680"/>
    </row>
    <row r="3639" spans="1:2">
      <c r="A3639" s="126"/>
      <c r="B3639" s="680"/>
    </row>
    <row r="3640" spans="1:2">
      <c r="A3640" s="126"/>
      <c r="B3640" s="680"/>
    </row>
    <row r="3641" spans="1:2">
      <c r="A3641" s="126"/>
      <c r="B3641" s="680"/>
    </row>
    <row r="3642" spans="1:2">
      <c r="A3642" s="126"/>
      <c r="B3642" s="680"/>
    </row>
    <row r="3643" spans="1:2">
      <c r="A3643" s="126"/>
      <c r="B3643" s="680"/>
    </row>
    <row r="3644" spans="1:2">
      <c r="A3644" s="126"/>
      <c r="B3644" s="680"/>
    </row>
    <row r="3645" spans="1:2">
      <c r="A3645" s="126"/>
      <c r="B3645" s="680"/>
    </row>
    <row r="3646" spans="1:2">
      <c r="A3646" s="126"/>
      <c r="B3646" s="680"/>
    </row>
    <row r="3647" spans="1:2">
      <c r="A3647" s="126"/>
      <c r="B3647" s="680"/>
    </row>
    <row r="3648" spans="1:2">
      <c r="A3648" s="126"/>
      <c r="B3648" s="680"/>
    </row>
    <row r="3649" spans="1:2">
      <c r="A3649" s="126"/>
      <c r="B3649" s="680"/>
    </row>
    <row r="3650" spans="1:2">
      <c r="A3650" s="126"/>
      <c r="B3650" s="680"/>
    </row>
    <row r="3651" spans="1:2">
      <c r="A3651" s="126"/>
      <c r="B3651" s="680"/>
    </row>
    <row r="3652" spans="1:2">
      <c r="A3652" s="126"/>
      <c r="B3652" s="680"/>
    </row>
    <row r="3653" spans="1:2">
      <c r="A3653" s="126"/>
      <c r="B3653" s="680"/>
    </row>
    <row r="3654" spans="1:2">
      <c r="A3654" s="126"/>
      <c r="B3654" s="680"/>
    </row>
    <row r="3655" spans="1:2">
      <c r="A3655" s="126"/>
      <c r="B3655" s="680"/>
    </row>
    <row r="3656" spans="1:2">
      <c r="A3656" s="126"/>
      <c r="B3656" s="680"/>
    </row>
    <row r="3657" spans="1:2">
      <c r="A3657" s="126"/>
      <c r="B3657" s="680"/>
    </row>
    <row r="3658" spans="1:2">
      <c r="A3658" s="126"/>
      <c r="B3658" s="680"/>
    </row>
    <row r="3659" spans="1:2">
      <c r="A3659" s="126"/>
      <c r="B3659" s="680"/>
    </row>
    <row r="3660" spans="1:2">
      <c r="A3660" s="126"/>
      <c r="B3660" s="680"/>
    </row>
    <row r="3661" spans="1:2">
      <c r="A3661" s="126"/>
      <c r="B3661" s="680"/>
    </row>
    <row r="3662" spans="1:2">
      <c r="A3662" s="126"/>
      <c r="B3662" s="680"/>
    </row>
    <row r="3663" spans="1:2">
      <c r="A3663" s="126"/>
      <c r="B3663" s="680"/>
    </row>
    <row r="3664" spans="1:2">
      <c r="A3664" s="126"/>
      <c r="B3664" s="680"/>
    </row>
    <row r="3665" spans="1:2">
      <c r="A3665" s="126"/>
      <c r="B3665" s="680"/>
    </row>
    <row r="3666" spans="1:2">
      <c r="A3666" s="126"/>
      <c r="B3666" s="680"/>
    </row>
    <row r="3667" spans="1:2">
      <c r="A3667" s="126"/>
      <c r="B3667" s="680"/>
    </row>
    <row r="3668" spans="1:2">
      <c r="A3668" s="126"/>
      <c r="B3668" s="680"/>
    </row>
    <row r="3669" spans="1:2">
      <c r="A3669" s="126"/>
      <c r="B3669" s="680"/>
    </row>
    <row r="3670" spans="1:2">
      <c r="A3670" s="126"/>
      <c r="B3670" s="680"/>
    </row>
    <row r="3671" spans="1:2">
      <c r="A3671" s="126"/>
      <c r="B3671" s="680"/>
    </row>
    <row r="3672" spans="1:2">
      <c r="A3672" s="126"/>
      <c r="B3672" s="680"/>
    </row>
    <row r="3673" spans="1:2">
      <c r="A3673" s="126"/>
      <c r="B3673" s="680"/>
    </row>
    <row r="3674" spans="1:2">
      <c r="A3674" s="126"/>
      <c r="B3674" s="680"/>
    </row>
    <row r="3675" spans="1:2">
      <c r="A3675" s="126"/>
      <c r="B3675" s="680"/>
    </row>
    <row r="3676" spans="1:2">
      <c r="A3676" s="126"/>
      <c r="B3676" s="680"/>
    </row>
    <row r="3677" spans="1:2">
      <c r="A3677" s="126"/>
      <c r="B3677" s="680"/>
    </row>
    <row r="3678" spans="1:2">
      <c r="A3678" s="126"/>
      <c r="B3678" s="680"/>
    </row>
    <row r="3679" spans="1:2">
      <c r="A3679" s="126"/>
      <c r="B3679" s="680"/>
    </row>
    <row r="3680" spans="1:2">
      <c r="A3680" s="126"/>
      <c r="B3680" s="680"/>
    </row>
    <row r="3681" spans="1:2">
      <c r="A3681" s="126"/>
      <c r="B3681" s="680"/>
    </row>
    <row r="3682" spans="1:2">
      <c r="A3682" s="126"/>
      <c r="B3682" s="680"/>
    </row>
    <row r="3683" spans="1:2">
      <c r="A3683" s="126"/>
      <c r="B3683" s="680"/>
    </row>
    <row r="3684" spans="1:2">
      <c r="A3684" s="126"/>
      <c r="B3684" s="680"/>
    </row>
    <row r="3685" spans="1:2">
      <c r="A3685" s="126"/>
      <c r="B3685" s="680"/>
    </row>
    <row r="3686" spans="1:2">
      <c r="A3686" s="126"/>
      <c r="B3686" s="680"/>
    </row>
    <row r="3687" spans="1:2">
      <c r="A3687" s="126"/>
      <c r="B3687" s="680"/>
    </row>
    <row r="3688" spans="1:2">
      <c r="A3688" s="126"/>
      <c r="B3688" s="680"/>
    </row>
    <row r="3689" spans="1:2">
      <c r="A3689" s="126"/>
      <c r="B3689" s="680"/>
    </row>
    <row r="3690" spans="1:2">
      <c r="A3690" s="126"/>
      <c r="B3690" s="680"/>
    </row>
    <row r="3691" spans="1:2">
      <c r="A3691" s="126"/>
      <c r="B3691" s="680"/>
    </row>
    <row r="3692" spans="1:2">
      <c r="A3692" s="126"/>
      <c r="B3692" s="680"/>
    </row>
    <row r="3693" spans="1:2">
      <c r="A3693" s="126"/>
      <c r="B3693" s="680"/>
    </row>
    <row r="3694" spans="1:2">
      <c r="A3694" s="126"/>
      <c r="B3694" s="680"/>
    </row>
    <row r="3695" spans="1:2">
      <c r="A3695" s="126"/>
      <c r="B3695" s="680"/>
    </row>
    <row r="3696" spans="1:2">
      <c r="A3696" s="126"/>
      <c r="B3696" s="680"/>
    </row>
    <row r="3697" spans="1:2">
      <c r="A3697" s="126"/>
      <c r="B3697" s="680"/>
    </row>
    <row r="3698" spans="1:2">
      <c r="A3698" s="126"/>
      <c r="B3698" s="680"/>
    </row>
    <row r="3699" spans="1:2">
      <c r="A3699" s="126"/>
      <c r="B3699" s="680"/>
    </row>
    <row r="3700" spans="1:2">
      <c r="A3700" s="126"/>
      <c r="B3700" s="680"/>
    </row>
    <row r="3701" spans="1:2">
      <c r="A3701" s="126"/>
      <c r="B3701" s="680"/>
    </row>
    <row r="3702" spans="1:2">
      <c r="A3702" s="126"/>
      <c r="B3702" s="680"/>
    </row>
    <row r="3703" spans="1:2">
      <c r="A3703" s="126"/>
      <c r="B3703" s="680"/>
    </row>
    <row r="3704" spans="1:2">
      <c r="A3704" s="126"/>
      <c r="B3704" s="680"/>
    </row>
    <row r="3705" spans="1:2">
      <c r="A3705" s="126"/>
      <c r="B3705" s="680"/>
    </row>
    <row r="3706" spans="1:2">
      <c r="A3706" s="126"/>
      <c r="B3706" s="680"/>
    </row>
    <row r="3707" spans="1:2">
      <c r="A3707" s="126"/>
      <c r="B3707" s="680"/>
    </row>
    <row r="3708" spans="1:2">
      <c r="A3708" s="126"/>
      <c r="B3708" s="680"/>
    </row>
    <row r="3709" spans="1:2">
      <c r="A3709" s="126"/>
      <c r="B3709" s="680"/>
    </row>
    <row r="3710" spans="1:2">
      <c r="A3710" s="126"/>
      <c r="B3710" s="680"/>
    </row>
    <row r="3711" spans="1:2">
      <c r="A3711" s="126"/>
      <c r="B3711" s="680"/>
    </row>
    <row r="3712" spans="1:2">
      <c r="A3712" s="126"/>
      <c r="B3712" s="680"/>
    </row>
    <row r="3713" spans="1:2">
      <c r="A3713" s="126"/>
      <c r="B3713" s="680"/>
    </row>
    <row r="3714" spans="1:2">
      <c r="A3714" s="126"/>
      <c r="B3714" s="680"/>
    </row>
    <row r="3715" spans="1:2">
      <c r="A3715" s="126"/>
      <c r="B3715" s="680"/>
    </row>
    <row r="3716" spans="1:2">
      <c r="A3716" s="126"/>
      <c r="B3716" s="680"/>
    </row>
    <row r="3717" spans="1:2">
      <c r="A3717" s="126"/>
      <c r="B3717" s="680"/>
    </row>
    <row r="3718" spans="1:2">
      <c r="A3718" s="126"/>
      <c r="B3718" s="680"/>
    </row>
    <row r="3719" spans="1:2">
      <c r="A3719" s="126"/>
      <c r="B3719" s="680"/>
    </row>
    <row r="3720" spans="1:2">
      <c r="A3720" s="126"/>
      <c r="B3720" s="680"/>
    </row>
    <row r="3721" spans="1:2">
      <c r="A3721" s="126"/>
      <c r="B3721" s="680"/>
    </row>
    <row r="3722" spans="1:2">
      <c r="A3722" s="126"/>
      <c r="B3722" s="680"/>
    </row>
    <row r="3723" spans="1:2">
      <c r="A3723" s="126"/>
      <c r="B3723" s="680"/>
    </row>
    <row r="3724" spans="1:2">
      <c r="A3724" s="126"/>
      <c r="B3724" s="680"/>
    </row>
    <row r="3725" spans="1:2">
      <c r="A3725" s="126"/>
      <c r="B3725" s="680"/>
    </row>
    <row r="3726" spans="1:2">
      <c r="A3726" s="126"/>
      <c r="B3726" s="680"/>
    </row>
    <row r="3727" spans="1:2">
      <c r="A3727" s="126"/>
      <c r="B3727" s="680"/>
    </row>
    <row r="3728" spans="1:2">
      <c r="A3728" s="126"/>
      <c r="B3728" s="680"/>
    </row>
    <row r="3729" spans="1:2">
      <c r="A3729" s="126"/>
      <c r="B3729" s="680"/>
    </row>
    <row r="3730" spans="1:2">
      <c r="A3730" s="126"/>
      <c r="B3730" s="680"/>
    </row>
    <row r="3731" spans="1:2">
      <c r="A3731" s="126"/>
      <c r="B3731" s="680"/>
    </row>
    <row r="3732" spans="1:2">
      <c r="A3732" s="126"/>
      <c r="B3732" s="680"/>
    </row>
    <row r="3733" spans="1:2">
      <c r="A3733" s="126"/>
      <c r="B3733" s="680"/>
    </row>
    <row r="3734" spans="1:2">
      <c r="A3734" s="126"/>
      <c r="B3734" s="680"/>
    </row>
    <row r="3735" spans="1:2">
      <c r="A3735" s="126"/>
      <c r="B3735" s="680"/>
    </row>
    <row r="3736" spans="1:2">
      <c r="A3736" s="126"/>
      <c r="B3736" s="680"/>
    </row>
    <row r="3737" spans="1:2">
      <c r="A3737" s="126"/>
      <c r="B3737" s="680"/>
    </row>
    <row r="3738" spans="1:2">
      <c r="A3738" s="126"/>
      <c r="B3738" s="680"/>
    </row>
    <row r="3739" spans="1:2">
      <c r="A3739" s="126"/>
      <c r="B3739" s="680"/>
    </row>
    <row r="3740" spans="1:2">
      <c r="A3740" s="126"/>
      <c r="B3740" s="680"/>
    </row>
    <row r="3741" spans="1:2">
      <c r="A3741" s="126"/>
      <c r="B3741" s="680"/>
    </row>
    <row r="3742" spans="1:2">
      <c r="A3742" s="126"/>
      <c r="B3742" s="680"/>
    </row>
    <row r="3743" spans="1:2">
      <c r="A3743" s="126"/>
      <c r="B3743" s="680"/>
    </row>
    <row r="3744" spans="1:2">
      <c r="A3744" s="126"/>
      <c r="B3744" s="680"/>
    </row>
    <row r="3745" spans="1:2">
      <c r="A3745" s="126"/>
      <c r="B3745" s="680"/>
    </row>
    <row r="3746" spans="1:2">
      <c r="A3746" s="126"/>
      <c r="B3746" s="680"/>
    </row>
    <row r="3747" spans="1:2">
      <c r="A3747" s="126"/>
      <c r="B3747" s="680"/>
    </row>
    <row r="3748" spans="1:2">
      <c r="A3748" s="126"/>
      <c r="B3748" s="680"/>
    </row>
    <row r="3749" spans="1:2">
      <c r="A3749" s="126"/>
      <c r="B3749" s="680"/>
    </row>
    <row r="3750" spans="1:2">
      <c r="A3750" s="126"/>
      <c r="B3750" s="680"/>
    </row>
    <row r="3751" spans="1:2">
      <c r="A3751" s="126"/>
      <c r="B3751" s="680"/>
    </row>
    <row r="3752" spans="1:2">
      <c r="A3752" s="126"/>
      <c r="B3752" s="680"/>
    </row>
    <row r="3753" spans="1:2">
      <c r="A3753" s="126"/>
      <c r="B3753" s="680"/>
    </row>
    <row r="3754" spans="1:2">
      <c r="A3754" s="126"/>
      <c r="B3754" s="680"/>
    </row>
    <row r="3755" spans="1:2">
      <c r="A3755" s="126"/>
      <c r="B3755" s="680"/>
    </row>
    <row r="3756" spans="1:2">
      <c r="A3756" s="126"/>
      <c r="B3756" s="680"/>
    </row>
    <row r="3757" spans="1:2">
      <c r="A3757" s="126"/>
      <c r="B3757" s="680"/>
    </row>
    <row r="3758" spans="1:2">
      <c r="A3758" s="126"/>
      <c r="B3758" s="680"/>
    </row>
    <row r="3759" spans="1:2">
      <c r="A3759" s="126"/>
      <c r="B3759" s="680"/>
    </row>
    <row r="3760" spans="1:2">
      <c r="A3760" s="126"/>
      <c r="B3760" s="680"/>
    </row>
    <row r="3761" spans="1:2">
      <c r="A3761" s="126"/>
      <c r="B3761" s="680"/>
    </row>
    <row r="3762" spans="1:2">
      <c r="A3762" s="126"/>
      <c r="B3762" s="680"/>
    </row>
    <row r="3763" spans="1:2">
      <c r="A3763" s="126"/>
      <c r="B3763" s="680"/>
    </row>
    <row r="3764" spans="1:2">
      <c r="A3764" s="126"/>
      <c r="B3764" s="680"/>
    </row>
    <row r="3765" spans="1:2">
      <c r="A3765" s="126"/>
      <c r="B3765" s="680"/>
    </row>
    <row r="3766" spans="1:2">
      <c r="A3766" s="126"/>
      <c r="B3766" s="680"/>
    </row>
    <row r="3767" spans="1:2">
      <c r="A3767" s="126"/>
      <c r="B3767" s="680"/>
    </row>
    <row r="3768" spans="1:2">
      <c r="A3768" s="126"/>
      <c r="B3768" s="680"/>
    </row>
    <row r="3769" spans="1:2">
      <c r="A3769" s="126"/>
      <c r="B3769" s="680"/>
    </row>
    <row r="3770" spans="1:2">
      <c r="A3770" s="126"/>
      <c r="B3770" s="680"/>
    </row>
    <row r="3771" spans="1:2">
      <c r="A3771" s="126"/>
      <c r="B3771" s="680"/>
    </row>
    <row r="3772" spans="1:2">
      <c r="A3772" s="126"/>
      <c r="B3772" s="680"/>
    </row>
    <row r="3773" spans="1:2">
      <c r="A3773" s="126"/>
      <c r="B3773" s="680"/>
    </row>
    <row r="3774" spans="1:2">
      <c r="A3774" s="126"/>
      <c r="B3774" s="680"/>
    </row>
    <row r="3775" spans="1:2">
      <c r="A3775" s="126"/>
      <c r="B3775" s="680"/>
    </row>
    <row r="3776" spans="1:2">
      <c r="A3776" s="126"/>
      <c r="B3776" s="680"/>
    </row>
    <row r="3777" spans="1:2">
      <c r="A3777" s="126"/>
      <c r="B3777" s="680"/>
    </row>
    <row r="3778" spans="1:2">
      <c r="A3778" s="126"/>
      <c r="B3778" s="680"/>
    </row>
    <row r="3779" spans="1:2">
      <c r="A3779" s="126"/>
      <c r="B3779" s="680"/>
    </row>
    <row r="3780" spans="1:2">
      <c r="A3780" s="126"/>
      <c r="B3780" s="680"/>
    </row>
    <row r="3781" spans="1:2">
      <c r="A3781" s="126"/>
      <c r="B3781" s="680"/>
    </row>
    <row r="3782" spans="1:2">
      <c r="A3782" s="126"/>
      <c r="B3782" s="680"/>
    </row>
    <row r="3783" spans="1:2">
      <c r="A3783" s="126"/>
      <c r="B3783" s="680"/>
    </row>
    <row r="3784" spans="1:2">
      <c r="A3784" s="126"/>
      <c r="B3784" s="680"/>
    </row>
    <row r="3785" spans="1:2">
      <c r="A3785" s="126"/>
      <c r="B3785" s="680"/>
    </row>
    <row r="3786" spans="1:2">
      <c r="A3786" s="126"/>
      <c r="B3786" s="680"/>
    </row>
    <row r="3787" spans="1:2">
      <c r="A3787" s="126"/>
      <c r="B3787" s="680"/>
    </row>
    <row r="3788" spans="1:2">
      <c r="A3788" s="126"/>
      <c r="B3788" s="680"/>
    </row>
    <row r="3789" spans="1:2">
      <c r="A3789" s="126"/>
      <c r="B3789" s="680"/>
    </row>
    <row r="3790" spans="1:2">
      <c r="A3790" s="126"/>
      <c r="B3790" s="680"/>
    </row>
    <row r="3791" spans="1:2">
      <c r="A3791" s="126"/>
      <c r="B3791" s="680"/>
    </row>
    <row r="3792" spans="1:2">
      <c r="A3792" s="126"/>
      <c r="B3792" s="680"/>
    </row>
    <row r="3793" spans="1:2">
      <c r="A3793" s="126"/>
      <c r="B3793" s="680"/>
    </row>
    <row r="3794" spans="1:2">
      <c r="A3794" s="126"/>
      <c r="B3794" s="680"/>
    </row>
    <row r="3795" spans="1:2">
      <c r="A3795" s="126"/>
      <c r="B3795" s="680"/>
    </row>
    <row r="3796" spans="1:2">
      <c r="A3796" s="126"/>
      <c r="B3796" s="680"/>
    </row>
    <row r="3797" spans="1:2">
      <c r="A3797" s="126"/>
      <c r="B3797" s="680"/>
    </row>
    <row r="3798" spans="1:2">
      <c r="A3798" s="126"/>
      <c r="B3798" s="680"/>
    </row>
    <row r="3799" spans="1:2">
      <c r="A3799" s="126"/>
      <c r="B3799" s="680"/>
    </row>
    <row r="3800" spans="1:2">
      <c r="A3800" s="126"/>
      <c r="B3800" s="680"/>
    </row>
    <row r="3801" spans="1:2">
      <c r="A3801" s="126"/>
      <c r="B3801" s="680"/>
    </row>
    <row r="3802" spans="1:2">
      <c r="A3802" s="126"/>
      <c r="B3802" s="680"/>
    </row>
    <row r="3803" spans="1:2">
      <c r="A3803" s="126"/>
      <c r="B3803" s="680"/>
    </row>
    <row r="3804" spans="1:2">
      <c r="A3804" s="126"/>
      <c r="B3804" s="680"/>
    </row>
    <row r="3805" spans="1:2">
      <c r="A3805" s="126"/>
      <c r="B3805" s="680"/>
    </row>
    <row r="3806" spans="1:2">
      <c r="A3806" s="126"/>
      <c r="B3806" s="680"/>
    </row>
    <row r="3807" spans="1:2">
      <c r="A3807" s="126"/>
      <c r="B3807" s="680"/>
    </row>
    <row r="3808" spans="1:2">
      <c r="A3808" s="126"/>
      <c r="B3808" s="680"/>
    </row>
    <row r="3809" spans="1:2">
      <c r="A3809" s="126"/>
      <c r="B3809" s="680"/>
    </row>
    <row r="3810" spans="1:2">
      <c r="A3810" s="126"/>
      <c r="B3810" s="680"/>
    </row>
    <row r="3811" spans="1:2">
      <c r="A3811" s="126"/>
      <c r="B3811" s="680"/>
    </row>
    <row r="3812" spans="1:2">
      <c r="A3812" s="126"/>
      <c r="B3812" s="680"/>
    </row>
    <row r="3813" spans="1:2">
      <c r="A3813" s="126"/>
      <c r="B3813" s="680"/>
    </row>
    <row r="3814" spans="1:2">
      <c r="A3814" s="126"/>
      <c r="B3814" s="680"/>
    </row>
    <row r="3815" spans="1:2">
      <c r="A3815" s="126"/>
      <c r="B3815" s="680"/>
    </row>
    <row r="3816" spans="1:2">
      <c r="A3816" s="126"/>
      <c r="B3816" s="680"/>
    </row>
    <row r="3817" spans="1:2">
      <c r="A3817" s="126"/>
      <c r="B3817" s="680"/>
    </row>
    <row r="3818" spans="1:2">
      <c r="A3818" s="126"/>
      <c r="B3818" s="680"/>
    </row>
    <row r="3819" spans="1:2">
      <c r="A3819" s="126"/>
      <c r="B3819" s="680"/>
    </row>
    <row r="3820" spans="1:2">
      <c r="A3820" s="126"/>
      <c r="B3820" s="680"/>
    </row>
    <row r="3821" spans="1:2">
      <c r="A3821" s="126"/>
      <c r="B3821" s="680"/>
    </row>
    <row r="3822" spans="1:2">
      <c r="A3822" s="126"/>
      <c r="B3822" s="680"/>
    </row>
    <row r="3823" spans="1:2">
      <c r="A3823" s="126"/>
      <c r="B3823" s="680"/>
    </row>
    <row r="3824" spans="1:2">
      <c r="A3824" s="126"/>
      <c r="B3824" s="680"/>
    </row>
    <row r="3825" spans="1:2">
      <c r="A3825" s="126"/>
      <c r="B3825" s="680"/>
    </row>
    <row r="3826" spans="1:2">
      <c r="A3826" s="126"/>
      <c r="B3826" s="680"/>
    </row>
    <row r="3827" spans="1:2">
      <c r="A3827" s="126"/>
      <c r="B3827" s="680"/>
    </row>
    <row r="3828" spans="1:2">
      <c r="A3828" s="126"/>
      <c r="B3828" s="680"/>
    </row>
    <row r="3829" spans="1:2">
      <c r="A3829" s="126"/>
      <c r="B3829" s="680"/>
    </row>
    <row r="3830" spans="1:2">
      <c r="A3830" s="126"/>
      <c r="B3830" s="680"/>
    </row>
    <row r="3831" spans="1:2">
      <c r="A3831" s="126"/>
      <c r="B3831" s="680"/>
    </row>
    <row r="3832" spans="1:2">
      <c r="A3832" s="126"/>
      <c r="B3832" s="680"/>
    </row>
    <row r="3833" spans="1:2">
      <c r="A3833" s="126"/>
      <c r="B3833" s="680"/>
    </row>
    <row r="3834" spans="1:2">
      <c r="A3834" s="126"/>
      <c r="B3834" s="680"/>
    </row>
    <row r="3835" spans="1:2">
      <c r="A3835" s="126"/>
      <c r="B3835" s="680"/>
    </row>
    <row r="3836" spans="1:2">
      <c r="A3836" s="126"/>
      <c r="B3836" s="680"/>
    </row>
    <row r="3837" spans="1:2">
      <c r="A3837" s="126"/>
      <c r="B3837" s="680"/>
    </row>
    <row r="3838" spans="1:2">
      <c r="A3838" s="126"/>
      <c r="B3838" s="680"/>
    </row>
    <row r="3839" spans="1:2">
      <c r="A3839" s="126"/>
      <c r="B3839" s="680"/>
    </row>
    <row r="3840" spans="1:2">
      <c r="A3840" s="126"/>
      <c r="B3840" s="680"/>
    </row>
    <row r="3841" spans="1:2">
      <c r="A3841" s="126"/>
      <c r="B3841" s="680"/>
    </row>
    <row r="3842" spans="1:2">
      <c r="A3842" s="126"/>
      <c r="B3842" s="680"/>
    </row>
    <row r="3843" spans="1:2">
      <c r="A3843" s="126"/>
      <c r="B3843" s="680"/>
    </row>
    <row r="3844" spans="1:2">
      <c r="A3844" s="126"/>
      <c r="B3844" s="680"/>
    </row>
    <row r="3845" spans="1:2">
      <c r="A3845" s="126"/>
      <c r="B3845" s="680"/>
    </row>
    <row r="3846" spans="1:2">
      <c r="A3846" s="126"/>
      <c r="B3846" s="680"/>
    </row>
    <row r="3847" spans="1:2">
      <c r="A3847" s="126"/>
      <c r="B3847" s="680"/>
    </row>
    <row r="3848" spans="1:2">
      <c r="A3848" s="126"/>
      <c r="B3848" s="680"/>
    </row>
    <row r="3849" spans="1:2">
      <c r="A3849" s="126"/>
      <c r="B3849" s="680"/>
    </row>
    <row r="3850" spans="1:2">
      <c r="A3850" s="126"/>
      <c r="B3850" s="680"/>
    </row>
    <row r="3851" spans="1:2">
      <c r="A3851" s="126"/>
      <c r="B3851" s="680"/>
    </row>
    <row r="3852" spans="1:2">
      <c r="A3852" s="126"/>
      <c r="B3852" s="680"/>
    </row>
    <row r="3853" spans="1:2">
      <c r="A3853" s="126"/>
      <c r="B3853" s="680"/>
    </row>
    <row r="3854" spans="1:2">
      <c r="A3854" s="126"/>
      <c r="B3854" s="680"/>
    </row>
    <row r="3855" spans="1:2">
      <c r="A3855" s="126"/>
      <c r="B3855" s="680"/>
    </row>
    <row r="3856" spans="1:2">
      <c r="A3856" s="126"/>
      <c r="B3856" s="680"/>
    </row>
    <row r="3857" spans="1:2">
      <c r="A3857" s="126"/>
      <c r="B3857" s="680"/>
    </row>
    <row r="3858" spans="1:2">
      <c r="A3858" s="126"/>
      <c r="B3858" s="680"/>
    </row>
    <row r="3859" spans="1:2">
      <c r="A3859" s="126"/>
      <c r="B3859" s="680"/>
    </row>
    <row r="3860" spans="1:2">
      <c r="A3860" s="126"/>
      <c r="B3860" s="680"/>
    </row>
    <row r="3861" spans="1:2">
      <c r="A3861" s="126"/>
      <c r="B3861" s="680"/>
    </row>
    <row r="3862" spans="1:2">
      <c r="A3862" s="126"/>
      <c r="B3862" s="680"/>
    </row>
    <row r="3863" spans="1:2">
      <c r="A3863" s="126"/>
      <c r="B3863" s="680"/>
    </row>
    <row r="3864" spans="1:2">
      <c r="A3864" s="126"/>
      <c r="B3864" s="680"/>
    </row>
    <row r="3865" spans="1:2">
      <c r="A3865" s="126"/>
      <c r="B3865" s="680"/>
    </row>
    <row r="3866" spans="1:2">
      <c r="A3866" s="126"/>
      <c r="B3866" s="680"/>
    </row>
    <row r="3867" spans="1:2">
      <c r="A3867" s="126"/>
      <c r="B3867" s="680"/>
    </row>
    <row r="3868" spans="1:2">
      <c r="A3868" s="126"/>
      <c r="B3868" s="680"/>
    </row>
    <row r="3869" spans="1:2">
      <c r="A3869" s="126"/>
      <c r="B3869" s="680"/>
    </row>
    <row r="3870" spans="1:2">
      <c r="A3870" s="126"/>
      <c r="B3870" s="680"/>
    </row>
    <row r="3871" spans="1:2">
      <c r="A3871" s="126"/>
      <c r="B3871" s="680"/>
    </row>
    <row r="3872" spans="1:2">
      <c r="A3872" s="126"/>
      <c r="B3872" s="680"/>
    </row>
    <row r="3873" spans="1:2">
      <c r="A3873" s="126"/>
      <c r="B3873" s="680"/>
    </row>
    <row r="3874" spans="1:2">
      <c r="A3874" s="126"/>
      <c r="B3874" s="680"/>
    </row>
    <row r="3875" spans="1:2">
      <c r="A3875" s="126"/>
      <c r="B3875" s="680"/>
    </row>
    <row r="3876" spans="1:2">
      <c r="A3876" s="126"/>
      <c r="B3876" s="680"/>
    </row>
    <row r="3877" spans="1:2">
      <c r="A3877" s="126"/>
      <c r="B3877" s="680"/>
    </row>
    <row r="3878" spans="1:2">
      <c r="A3878" s="126"/>
      <c r="B3878" s="680"/>
    </row>
    <row r="3879" spans="1:2">
      <c r="A3879" s="126"/>
      <c r="B3879" s="680"/>
    </row>
    <row r="3880" spans="1:2">
      <c r="A3880" s="126"/>
      <c r="B3880" s="680"/>
    </row>
    <row r="3881" spans="1:2">
      <c r="A3881" s="126"/>
      <c r="B3881" s="680"/>
    </row>
    <row r="3882" spans="1:2">
      <c r="A3882" s="126"/>
      <c r="B3882" s="680"/>
    </row>
    <row r="3883" spans="1:2">
      <c r="A3883" s="126"/>
      <c r="B3883" s="680"/>
    </row>
    <row r="3884" spans="1:2">
      <c r="A3884" s="126"/>
      <c r="B3884" s="680"/>
    </row>
    <row r="3885" spans="1:2">
      <c r="A3885" s="126"/>
      <c r="B3885" s="680"/>
    </row>
    <row r="3886" spans="1:2">
      <c r="A3886" s="126"/>
      <c r="B3886" s="680"/>
    </row>
    <row r="3887" spans="1:2">
      <c r="A3887" s="126"/>
      <c r="B3887" s="680"/>
    </row>
    <row r="3888" spans="1:2">
      <c r="A3888" s="126"/>
      <c r="B3888" s="680"/>
    </row>
    <row r="3889" spans="1:2">
      <c r="A3889" s="126"/>
      <c r="B3889" s="680"/>
    </row>
    <row r="3890" spans="1:2">
      <c r="A3890" s="126"/>
      <c r="B3890" s="680"/>
    </row>
    <row r="3891" spans="1:2">
      <c r="A3891" s="126"/>
      <c r="B3891" s="680"/>
    </row>
    <row r="3892" spans="1:2">
      <c r="A3892" s="126"/>
      <c r="B3892" s="680"/>
    </row>
    <row r="3893" spans="1:2">
      <c r="A3893" s="126"/>
      <c r="B3893" s="680"/>
    </row>
    <row r="3894" spans="1:2">
      <c r="A3894" s="126"/>
      <c r="B3894" s="680"/>
    </row>
    <row r="3895" spans="1:2">
      <c r="A3895" s="126"/>
      <c r="B3895" s="680"/>
    </row>
    <row r="3896" spans="1:2">
      <c r="A3896" s="126"/>
      <c r="B3896" s="680"/>
    </row>
    <row r="3897" spans="1:2">
      <c r="A3897" s="126"/>
      <c r="B3897" s="680"/>
    </row>
    <row r="3898" spans="1:2">
      <c r="A3898" s="126"/>
      <c r="B3898" s="680"/>
    </row>
    <row r="3899" spans="1:2">
      <c r="A3899" s="126"/>
      <c r="B3899" s="680"/>
    </row>
    <row r="3900" spans="1:2">
      <c r="A3900" s="126"/>
      <c r="B3900" s="680"/>
    </row>
    <row r="3901" spans="1:2">
      <c r="A3901" s="126"/>
      <c r="B3901" s="680"/>
    </row>
    <row r="3902" spans="1:2">
      <c r="A3902" s="126"/>
      <c r="B3902" s="680"/>
    </row>
    <row r="3903" spans="1:2">
      <c r="A3903" s="126"/>
      <c r="B3903" s="680"/>
    </row>
    <row r="3904" spans="1:2">
      <c r="A3904" s="126"/>
      <c r="B3904" s="680"/>
    </row>
    <row r="3905" spans="1:2">
      <c r="A3905" s="126"/>
      <c r="B3905" s="680"/>
    </row>
    <row r="3906" spans="1:2">
      <c r="A3906" s="126"/>
      <c r="B3906" s="680"/>
    </row>
    <row r="3907" spans="1:2">
      <c r="A3907" s="126"/>
      <c r="B3907" s="680"/>
    </row>
    <row r="3908" spans="1:2">
      <c r="A3908" s="126"/>
      <c r="B3908" s="680"/>
    </row>
    <row r="3909" spans="1:2">
      <c r="A3909" s="126"/>
      <c r="B3909" s="680"/>
    </row>
    <row r="3910" spans="1:2">
      <c r="A3910" s="126"/>
      <c r="B3910" s="680"/>
    </row>
    <row r="3911" spans="1:2">
      <c r="A3911" s="126"/>
      <c r="B3911" s="680"/>
    </row>
    <row r="3912" spans="1:2">
      <c r="A3912" s="126"/>
      <c r="B3912" s="680"/>
    </row>
    <row r="3913" spans="1:2">
      <c r="A3913" s="126"/>
      <c r="B3913" s="680"/>
    </row>
    <row r="3914" spans="1:2">
      <c r="A3914" s="126"/>
      <c r="B3914" s="680"/>
    </row>
    <row r="3915" spans="1:2">
      <c r="A3915" s="126"/>
      <c r="B3915" s="680"/>
    </row>
    <row r="3916" spans="1:2">
      <c r="A3916" s="126"/>
      <c r="B3916" s="680"/>
    </row>
    <row r="3917" spans="1:2">
      <c r="A3917" s="126"/>
      <c r="B3917" s="680"/>
    </row>
    <row r="3918" spans="1:2">
      <c r="A3918" s="126"/>
      <c r="B3918" s="680"/>
    </row>
    <row r="3919" spans="1:2">
      <c r="A3919" s="126"/>
      <c r="B3919" s="680"/>
    </row>
    <row r="3920" spans="1:2">
      <c r="A3920" s="126"/>
      <c r="B3920" s="680"/>
    </row>
    <row r="3921" spans="1:2">
      <c r="A3921" s="126"/>
      <c r="B3921" s="680"/>
    </row>
    <row r="3922" spans="1:2">
      <c r="A3922" s="126"/>
      <c r="B3922" s="680"/>
    </row>
    <row r="3923" spans="1:2">
      <c r="A3923" s="126"/>
      <c r="B3923" s="680"/>
    </row>
    <row r="3924" spans="1:2">
      <c r="A3924" s="126"/>
      <c r="B3924" s="680"/>
    </row>
    <row r="3925" spans="1:2">
      <c r="A3925" s="126"/>
      <c r="B3925" s="680"/>
    </row>
    <row r="3926" spans="1:2">
      <c r="A3926" s="126"/>
      <c r="B3926" s="680"/>
    </row>
    <row r="3927" spans="1:2">
      <c r="A3927" s="126"/>
      <c r="B3927" s="680"/>
    </row>
    <row r="3928" spans="1:2">
      <c r="A3928" s="126"/>
      <c r="B3928" s="680"/>
    </row>
    <row r="3929" spans="1:2">
      <c r="A3929" s="126"/>
      <c r="B3929" s="680"/>
    </row>
    <row r="3930" spans="1:2">
      <c r="A3930" s="126"/>
      <c r="B3930" s="680"/>
    </row>
    <row r="3931" spans="1:2">
      <c r="A3931" s="126"/>
      <c r="B3931" s="680"/>
    </row>
    <row r="3932" spans="1:2">
      <c r="A3932" s="126"/>
      <c r="B3932" s="680"/>
    </row>
    <row r="3933" spans="1:2">
      <c r="A3933" s="126"/>
      <c r="B3933" s="680"/>
    </row>
    <row r="3934" spans="1:2">
      <c r="A3934" s="126"/>
      <c r="B3934" s="680"/>
    </row>
    <row r="3935" spans="1:2">
      <c r="A3935" s="126"/>
      <c r="B3935" s="680"/>
    </row>
    <row r="3936" spans="1:2">
      <c r="A3936" s="126"/>
      <c r="B3936" s="680"/>
    </row>
    <row r="3937" spans="1:2">
      <c r="A3937" s="126"/>
      <c r="B3937" s="680"/>
    </row>
    <row r="3938" spans="1:2">
      <c r="A3938" s="126"/>
      <c r="B3938" s="680"/>
    </row>
    <row r="3939" spans="1:2">
      <c r="A3939" s="126"/>
      <c r="B3939" s="680"/>
    </row>
    <row r="3940" spans="1:2">
      <c r="A3940" s="126"/>
      <c r="B3940" s="680"/>
    </row>
    <row r="3941" spans="1:2">
      <c r="A3941" s="126"/>
      <c r="B3941" s="680"/>
    </row>
    <row r="3942" spans="1:2">
      <c r="A3942" s="126"/>
      <c r="B3942" s="680"/>
    </row>
    <row r="3943" spans="1:2">
      <c r="A3943" s="126"/>
      <c r="B3943" s="680"/>
    </row>
    <row r="3944" spans="1:2">
      <c r="A3944" s="126"/>
      <c r="B3944" s="680"/>
    </row>
    <row r="3945" spans="1:2">
      <c r="A3945" s="126"/>
      <c r="B3945" s="680"/>
    </row>
    <row r="3946" spans="1:2">
      <c r="A3946" s="126"/>
      <c r="B3946" s="680"/>
    </row>
    <row r="3947" spans="1:2">
      <c r="A3947" s="126"/>
      <c r="B3947" s="680"/>
    </row>
    <row r="3948" spans="1:2">
      <c r="A3948" s="126"/>
      <c r="B3948" s="680"/>
    </row>
    <row r="3949" spans="1:2">
      <c r="A3949" s="126"/>
      <c r="B3949" s="680"/>
    </row>
    <row r="3950" spans="1:2">
      <c r="A3950" s="126"/>
      <c r="B3950" s="680"/>
    </row>
    <row r="3951" spans="1:2">
      <c r="A3951" s="126"/>
      <c r="B3951" s="680"/>
    </row>
    <row r="3952" spans="1:2">
      <c r="A3952" s="126"/>
      <c r="B3952" s="680"/>
    </row>
    <row r="3953" spans="1:2">
      <c r="A3953" s="126"/>
      <c r="B3953" s="680"/>
    </row>
    <row r="3954" spans="1:2">
      <c r="A3954" s="126"/>
      <c r="B3954" s="680"/>
    </row>
    <row r="3955" spans="1:2">
      <c r="A3955" s="126"/>
      <c r="B3955" s="680"/>
    </row>
    <row r="3956" spans="1:2">
      <c r="A3956" s="126"/>
      <c r="B3956" s="680"/>
    </row>
    <row r="3957" spans="1:2">
      <c r="A3957" s="126"/>
      <c r="B3957" s="680"/>
    </row>
    <row r="3958" spans="1:2">
      <c r="A3958" s="126"/>
      <c r="B3958" s="680"/>
    </row>
    <row r="3959" spans="1:2">
      <c r="A3959" s="126"/>
      <c r="B3959" s="680"/>
    </row>
    <row r="3960" spans="1:2">
      <c r="A3960" s="126"/>
      <c r="B3960" s="680"/>
    </row>
    <row r="3961" spans="1:2">
      <c r="A3961" s="126"/>
      <c r="B3961" s="680"/>
    </row>
    <row r="3962" spans="1:2">
      <c r="A3962" s="126"/>
      <c r="B3962" s="680"/>
    </row>
    <row r="3963" spans="1:2">
      <c r="A3963" s="126"/>
      <c r="B3963" s="680"/>
    </row>
    <row r="3964" spans="1:2">
      <c r="A3964" s="126"/>
      <c r="B3964" s="680"/>
    </row>
    <row r="3965" spans="1:2">
      <c r="A3965" s="126"/>
      <c r="B3965" s="680"/>
    </row>
    <row r="3966" spans="1:2">
      <c r="A3966" s="126"/>
      <c r="B3966" s="680"/>
    </row>
    <row r="3967" spans="1:2">
      <c r="A3967" s="126"/>
      <c r="B3967" s="680"/>
    </row>
    <row r="3968" spans="1:2">
      <c r="A3968" s="126"/>
      <c r="B3968" s="680"/>
    </row>
    <row r="3969" spans="1:2">
      <c r="A3969" s="126"/>
      <c r="B3969" s="680"/>
    </row>
    <row r="3970" spans="1:2">
      <c r="A3970" s="126"/>
      <c r="B3970" s="680"/>
    </row>
    <row r="3971" spans="1:2">
      <c r="A3971" s="126"/>
      <c r="B3971" s="680"/>
    </row>
    <row r="3972" spans="1:2">
      <c r="A3972" s="126"/>
      <c r="B3972" s="680"/>
    </row>
    <row r="3973" spans="1:2">
      <c r="A3973" s="126"/>
      <c r="B3973" s="680"/>
    </row>
    <row r="3974" spans="1:2">
      <c r="A3974" s="126"/>
      <c r="B3974" s="680"/>
    </row>
    <row r="3975" spans="1:2">
      <c r="A3975" s="126"/>
      <c r="B3975" s="680"/>
    </row>
    <row r="3976" spans="1:2">
      <c r="A3976" s="126"/>
      <c r="B3976" s="680"/>
    </row>
    <row r="3977" spans="1:2">
      <c r="A3977" s="126"/>
      <c r="B3977" s="680"/>
    </row>
    <row r="3978" spans="1:2">
      <c r="A3978" s="126"/>
      <c r="B3978" s="680"/>
    </row>
    <row r="3979" spans="1:2">
      <c r="A3979" s="126"/>
      <c r="B3979" s="680"/>
    </row>
    <row r="3980" spans="1:2">
      <c r="A3980" s="126"/>
      <c r="B3980" s="680"/>
    </row>
    <row r="3981" spans="1:2">
      <c r="A3981" s="126"/>
      <c r="B3981" s="680"/>
    </row>
    <row r="3982" spans="1:2">
      <c r="A3982" s="126"/>
      <c r="B3982" s="680"/>
    </row>
    <row r="3983" spans="1:2">
      <c r="A3983" s="126"/>
      <c r="B3983" s="680"/>
    </row>
    <row r="3984" spans="1:2">
      <c r="A3984" s="126"/>
      <c r="B3984" s="680"/>
    </row>
    <row r="3985" spans="1:2">
      <c r="A3985" s="126"/>
      <c r="B3985" s="680"/>
    </row>
    <row r="3986" spans="1:2">
      <c r="A3986" s="126"/>
      <c r="B3986" s="680"/>
    </row>
    <row r="3987" spans="1:2">
      <c r="A3987" s="126"/>
      <c r="B3987" s="680"/>
    </row>
    <row r="3988" spans="1:2">
      <c r="A3988" s="126"/>
      <c r="B3988" s="680"/>
    </row>
    <row r="3989" spans="1:2">
      <c r="A3989" s="126"/>
      <c r="B3989" s="680"/>
    </row>
    <row r="3990" spans="1:2">
      <c r="A3990" s="126"/>
      <c r="B3990" s="680"/>
    </row>
    <row r="3991" spans="1:2">
      <c r="A3991" s="126"/>
      <c r="B3991" s="680"/>
    </row>
    <row r="3992" spans="1:2">
      <c r="A3992" s="126"/>
      <c r="B3992" s="680"/>
    </row>
    <row r="3993" spans="1:2">
      <c r="A3993" s="126"/>
      <c r="B3993" s="680"/>
    </row>
    <row r="3994" spans="1:2">
      <c r="A3994" s="126"/>
      <c r="B3994" s="680"/>
    </row>
    <row r="3995" spans="1:2">
      <c r="A3995" s="126"/>
      <c r="B3995" s="680"/>
    </row>
    <row r="3996" spans="1:2">
      <c r="A3996" s="126"/>
      <c r="B3996" s="680"/>
    </row>
    <row r="3997" spans="1:2">
      <c r="A3997" s="126"/>
      <c r="B3997" s="680"/>
    </row>
    <row r="3998" spans="1:2">
      <c r="A3998" s="126"/>
      <c r="B3998" s="680"/>
    </row>
    <row r="3999" spans="1:2">
      <c r="A3999" s="126"/>
      <c r="B3999" s="680"/>
    </row>
    <row r="4000" spans="1:2">
      <c r="A4000" s="126"/>
      <c r="B4000" s="680"/>
    </row>
    <row r="4001" spans="1:2">
      <c r="A4001" s="126"/>
      <c r="B4001" s="680"/>
    </row>
    <row r="4002" spans="1:2">
      <c r="A4002" s="126"/>
      <c r="B4002" s="680"/>
    </row>
    <row r="4003" spans="1:2">
      <c r="A4003" s="126"/>
      <c r="B4003" s="680"/>
    </row>
    <row r="4004" spans="1:2">
      <c r="A4004" s="126"/>
      <c r="B4004" s="680"/>
    </row>
    <row r="4005" spans="1:2">
      <c r="A4005" s="126"/>
      <c r="B4005" s="680"/>
    </row>
    <row r="4006" spans="1:2">
      <c r="A4006" s="126"/>
      <c r="B4006" s="680"/>
    </row>
    <row r="4007" spans="1:2">
      <c r="A4007" s="126"/>
      <c r="B4007" s="680"/>
    </row>
    <row r="4008" spans="1:2">
      <c r="A4008" s="126"/>
      <c r="B4008" s="680"/>
    </row>
    <row r="4009" spans="1:2">
      <c r="A4009" s="126"/>
      <c r="B4009" s="680"/>
    </row>
    <row r="4010" spans="1:2">
      <c r="A4010" s="126"/>
      <c r="B4010" s="680"/>
    </row>
    <row r="4011" spans="1:2">
      <c r="A4011" s="126"/>
      <c r="B4011" s="680"/>
    </row>
    <row r="4012" spans="1:2">
      <c r="A4012" s="126"/>
      <c r="B4012" s="680"/>
    </row>
    <row r="4013" spans="1:2">
      <c r="A4013" s="126"/>
      <c r="B4013" s="680"/>
    </row>
    <row r="4014" spans="1:2">
      <c r="A4014" s="126"/>
      <c r="B4014" s="680"/>
    </row>
    <row r="4015" spans="1:2">
      <c r="A4015" s="126"/>
      <c r="B4015" s="680"/>
    </row>
    <row r="4016" spans="1:2">
      <c r="A4016" s="126"/>
      <c r="B4016" s="680"/>
    </row>
    <row r="4017" spans="1:2">
      <c r="A4017" s="126"/>
      <c r="B4017" s="680"/>
    </row>
    <row r="4018" spans="1:2">
      <c r="A4018" s="126"/>
      <c r="B4018" s="680"/>
    </row>
    <row r="4019" spans="1:2">
      <c r="A4019" s="126"/>
      <c r="B4019" s="680"/>
    </row>
    <row r="4020" spans="1:2">
      <c r="A4020" s="126"/>
      <c r="B4020" s="680"/>
    </row>
    <row r="4021" spans="1:2">
      <c r="A4021" s="126"/>
      <c r="B4021" s="680"/>
    </row>
    <row r="4022" spans="1:2">
      <c r="A4022" s="126"/>
      <c r="B4022" s="680"/>
    </row>
    <row r="4023" spans="1:2">
      <c r="A4023" s="126"/>
      <c r="B4023" s="680"/>
    </row>
    <row r="4024" spans="1:2">
      <c r="A4024" s="126"/>
      <c r="B4024" s="680"/>
    </row>
    <row r="4025" spans="1:2">
      <c r="A4025" s="126"/>
      <c r="B4025" s="680"/>
    </row>
    <row r="4026" spans="1:2">
      <c r="A4026" s="126"/>
      <c r="B4026" s="680"/>
    </row>
    <row r="4027" spans="1:2">
      <c r="A4027" s="126"/>
      <c r="B4027" s="680"/>
    </row>
    <row r="4028" spans="1:2">
      <c r="A4028" s="126"/>
      <c r="B4028" s="680"/>
    </row>
    <row r="4029" spans="1:2">
      <c r="A4029" s="126"/>
      <c r="B4029" s="680"/>
    </row>
    <row r="4030" spans="1:2">
      <c r="A4030" s="126"/>
      <c r="B4030" s="680"/>
    </row>
    <row r="4031" spans="1:2">
      <c r="A4031" s="126"/>
      <c r="B4031" s="680"/>
    </row>
    <row r="4032" spans="1:2">
      <c r="A4032" s="126"/>
      <c r="B4032" s="680"/>
    </row>
    <row r="4033" spans="1:2">
      <c r="A4033" s="126"/>
      <c r="B4033" s="680"/>
    </row>
    <row r="4034" spans="1:2">
      <c r="A4034" s="126"/>
      <c r="B4034" s="680"/>
    </row>
    <row r="4035" spans="1:2">
      <c r="A4035" s="126"/>
      <c r="B4035" s="680"/>
    </row>
    <row r="4036" spans="1:2">
      <c r="A4036" s="126"/>
      <c r="B4036" s="680"/>
    </row>
    <row r="4037" spans="1:2">
      <c r="A4037" s="126"/>
      <c r="B4037" s="680"/>
    </row>
    <row r="4038" spans="1:2">
      <c r="A4038" s="126"/>
      <c r="B4038" s="680"/>
    </row>
    <row r="4039" spans="1:2">
      <c r="A4039" s="126"/>
      <c r="B4039" s="680"/>
    </row>
    <row r="4040" spans="1:2">
      <c r="A4040" s="126"/>
      <c r="B4040" s="680"/>
    </row>
    <row r="4041" spans="1:2">
      <c r="A4041" s="126"/>
      <c r="B4041" s="680"/>
    </row>
    <row r="4042" spans="1:2">
      <c r="A4042" s="126"/>
      <c r="B4042" s="680"/>
    </row>
    <row r="4043" spans="1:2">
      <c r="A4043" s="126"/>
      <c r="B4043" s="680"/>
    </row>
    <row r="4044" spans="1:2">
      <c r="A4044" s="126"/>
      <c r="B4044" s="680"/>
    </row>
    <row r="4045" spans="1:2">
      <c r="A4045" s="126"/>
      <c r="B4045" s="680"/>
    </row>
    <row r="4046" spans="1:2">
      <c r="A4046" s="126"/>
      <c r="B4046" s="680"/>
    </row>
    <row r="4047" spans="1:2">
      <c r="A4047" s="126"/>
      <c r="B4047" s="680"/>
    </row>
    <row r="4048" spans="1:2">
      <c r="A4048" s="126"/>
      <c r="B4048" s="680"/>
    </row>
    <row r="4049" spans="1:2">
      <c r="A4049" s="126"/>
      <c r="B4049" s="680"/>
    </row>
    <row r="4050" spans="1:2">
      <c r="A4050" s="126"/>
      <c r="B4050" s="680"/>
    </row>
    <row r="4051" spans="1:2">
      <c r="A4051" s="126"/>
      <c r="B4051" s="680"/>
    </row>
    <row r="4052" spans="1:2">
      <c r="A4052" s="126"/>
      <c r="B4052" s="680"/>
    </row>
    <row r="4053" spans="1:2">
      <c r="A4053" s="126"/>
      <c r="B4053" s="680"/>
    </row>
    <row r="4054" spans="1:2">
      <c r="A4054" s="126"/>
      <c r="B4054" s="680"/>
    </row>
    <row r="4055" spans="1:2">
      <c r="A4055" s="126"/>
      <c r="B4055" s="680"/>
    </row>
    <row r="4056" spans="1:2">
      <c r="A4056" s="126"/>
      <c r="B4056" s="680"/>
    </row>
    <row r="4057" spans="1:2">
      <c r="A4057" s="126"/>
      <c r="B4057" s="680"/>
    </row>
    <row r="4058" spans="1:2">
      <c r="A4058" s="126"/>
      <c r="B4058" s="680"/>
    </row>
    <row r="4059" spans="1:2">
      <c r="A4059" s="126"/>
      <c r="B4059" s="680"/>
    </row>
    <row r="4060" spans="1:2">
      <c r="A4060" s="126"/>
      <c r="B4060" s="680"/>
    </row>
    <row r="4061" spans="1:2">
      <c r="A4061" s="126"/>
      <c r="B4061" s="680"/>
    </row>
    <row r="4062" spans="1:2">
      <c r="A4062" s="126"/>
      <c r="B4062" s="680"/>
    </row>
    <row r="4063" spans="1:2">
      <c r="A4063" s="126"/>
      <c r="B4063" s="680"/>
    </row>
    <row r="4064" spans="1:2">
      <c r="A4064" s="126"/>
      <c r="B4064" s="680"/>
    </row>
    <row r="4065" spans="1:2">
      <c r="A4065" s="126"/>
      <c r="B4065" s="680"/>
    </row>
    <row r="4066" spans="1:2">
      <c r="A4066" s="126"/>
      <c r="B4066" s="680"/>
    </row>
    <row r="4067" spans="1:2">
      <c r="A4067" s="126"/>
      <c r="B4067" s="680"/>
    </row>
    <row r="4068" spans="1:2">
      <c r="A4068" s="126"/>
      <c r="B4068" s="680"/>
    </row>
    <row r="4069" spans="1:2">
      <c r="A4069" s="126"/>
      <c r="B4069" s="680"/>
    </row>
    <row r="4070" spans="1:2">
      <c r="A4070" s="126"/>
      <c r="B4070" s="680"/>
    </row>
    <row r="4071" spans="1:2">
      <c r="A4071" s="126"/>
      <c r="B4071" s="680"/>
    </row>
    <row r="4072" spans="1:2">
      <c r="A4072" s="126"/>
      <c r="B4072" s="680"/>
    </row>
    <row r="4073" spans="1:2">
      <c r="A4073" s="126"/>
      <c r="B4073" s="680"/>
    </row>
    <row r="4074" spans="1:2">
      <c r="A4074" s="126"/>
      <c r="B4074" s="680"/>
    </row>
    <row r="4075" spans="1:2">
      <c r="A4075" s="126"/>
      <c r="B4075" s="680"/>
    </row>
    <row r="4076" spans="1:2">
      <c r="A4076" s="126"/>
      <c r="B4076" s="680"/>
    </row>
    <row r="4077" spans="1:2">
      <c r="A4077" s="126"/>
      <c r="B4077" s="680"/>
    </row>
    <row r="4078" spans="1:2">
      <c r="A4078" s="126"/>
      <c r="B4078" s="680"/>
    </row>
    <row r="4079" spans="1:2">
      <c r="A4079" s="126"/>
      <c r="B4079" s="680"/>
    </row>
    <row r="4080" spans="1:2">
      <c r="A4080" s="126"/>
      <c r="B4080" s="680"/>
    </row>
    <row r="4081" spans="1:2">
      <c r="A4081" s="126"/>
      <c r="B4081" s="680"/>
    </row>
    <row r="4082" spans="1:2">
      <c r="A4082" s="126"/>
      <c r="B4082" s="680"/>
    </row>
    <row r="4083" spans="1:2">
      <c r="A4083" s="126"/>
      <c r="B4083" s="680"/>
    </row>
    <row r="4084" spans="1:2">
      <c r="A4084" s="126"/>
      <c r="B4084" s="680"/>
    </row>
    <row r="4085" spans="1:2">
      <c r="A4085" s="126"/>
      <c r="B4085" s="680"/>
    </row>
    <row r="4086" spans="1:2">
      <c r="A4086" s="126"/>
      <c r="B4086" s="680"/>
    </row>
    <row r="4087" spans="1:2">
      <c r="A4087" s="126"/>
      <c r="B4087" s="680"/>
    </row>
    <row r="4088" spans="1:2">
      <c r="A4088" s="126"/>
      <c r="B4088" s="680"/>
    </row>
    <row r="4089" spans="1:2">
      <c r="A4089" s="126"/>
      <c r="B4089" s="680"/>
    </row>
    <row r="4090" spans="1:2">
      <c r="A4090" s="126"/>
      <c r="B4090" s="680"/>
    </row>
    <row r="4091" spans="1:2">
      <c r="A4091" s="126"/>
      <c r="B4091" s="680"/>
    </row>
    <row r="4092" spans="1:2">
      <c r="A4092" s="126"/>
      <c r="B4092" s="680"/>
    </row>
    <row r="4093" spans="1:2">
      <c r="A4093" s="126"/>
      <c r="B4093" s="680"/>
    </row>
    <row r="4094" spans="1:2">
      <c r="A4094" s="126"/>
      <c r="B4094" s="680"/>
    </row>
    <row r="4095" spans="1:2">
      <c r="A4095" s="126"/>
      <c r="B4095" s="680"/>
    </row>
    <row r="4096" spans="1:2">
      <c r="A4096" s="126"/>
      <c r="B4096" s="680"/>
    </row>
    <row r="4097" spans="1:2">
      <c r="A4097" s="126"/>
      <c r="B4097" s="680"/>
    </row>
    <row r="4098" spans="1:2">
      <c r="A4098" s="126"/>
      <c r="B4098" s="680"/>
    </row>
    <row r="4099" spans="1:2">
      <c r="A4099" s="126"/>
      <c r="B4099" s="680"/>
    </row>
    <row r="4100" spans="1:2">
      <c r="A4100" s="126"/>
      <c r="B4100" s="680"/>
    </row>
    <row r="4101" spans="1:2">
      <c r="A4101" s="126"/>
      <c r="B4101" s="680"/>
    </row>
    <row r="4102" spans="1:2">
      <c r="A4102" s="126"/>
      <c r="B4102" s="680"/>
    </row>
    <row r="4103" spans="1:2">
      <c r="A4103" s="126"/>
      <c r="B4103" s="680"/>
    </row>
    <row r="4104" spans="1:2">
      <c r="A4104" s="126"/>
      <c r="B4104" s="680"/>
    </row>
    <row r="4105" spans="1:2">
      <c r="A4105" s="126"/>
      <c r="B4105" s="680"/>
    </row>
    <row r="4106" spans="1:2">
      <c r="A4106" s="126"/>
      <c r="B4106" s="680"/>
    </row>
    <row r="4107" spans="1:2">
      <c r="A4107" s="126"/>
      <c r="B4107" s="680"/>
    </row>
    <row r="4108" spans="1:2">
      <c r="A4108" s="126"/>
      <c r="B4108" s="680"/>
    </row>
    <row r="4109" spans="1:2">
      <c r="A4109" s="126"/>
      <c r="B4109" s="680"/>
    </row>
    <row r="4110" spans="1:2">
      <c r="A4110" s="126"/>
      <c r="B4110" s="680"/>
    </row>
    <row r="4111" spans="1:2">
      <c r="A4111" s="126"/>
      <c r="B4111" s="680"/>
    </row>
    <row r="4112" spans="1:2">
      <c r="A4112" s="126"/>
      <c r="B4112" s="680"/>
    </row>
    <row r="4113" spans="1:2">
      <c r="A4113" s="126"/>
      <c r="B4113" s="680"/>
    </row>
    <row r="4114" spans="1:2">
      <c r="A4114" s="126"/>
      <c r="B4114" s="680"/>
    </row>
    <row r="4115" spans="1:2">
      <c r="A4115" s="126"/>
      <c r="B4115" s="680"/>
    </row>
    <row r="4116" spans="1:2">
      <c r="A4116" s="126"/>
      <c r="B4116" s="680"/>
    </row>
    <row r="4117" spans="1:2">
      <c r="A4117" s="126"/>
      <c r="B4117" s="680"/>
    </row>
    <row r="4118" spans="1:2">
      <c r="A4118" s="126"/>
      <c r="B4118" s="680"/>
    </row>
    <row r="4119" spans="1:2">
      <c r="A4119" s="126"/>
      <c r="B4119" s="680"/>
    </row>
    <row r="4120" spans="1:2">
      <c r="A4120" s="126"/>
      <c r="B4120" s="680"/>
    </row>
    <row r="4121" spans="1:2">
      <c r="A4121" s="126"/>
      <c r="B4121" s="680"/>
    </row>
    <row r="4122" spans="1:2">
      <c r="A4122" s="126"/>
      <c r="B4122" s="680"/>
    </row>
    <row r="4123" spans="1:2">
      <c r="A4123" s="126"/>
      <c r="B4123" s="680"/>
    </row>
    <row r="4124" spans="1:2">
      <c r="A4124" s="126"/>
      <c r="B4124" s="680"/>
    </row>
    <row r="4125" spans="1:2">
      <c r="A4125" s="126"/>
      <c r="B4125" s="680"/>
    </row>
    <row r="4126" spans="1:2">
      <c r="A4126" s="126"/>
      <c r="B4126" s="680"/>
    </row>
    <row r="4127" spans="1:2">
      <c r="A4127" s="126"/>
      <c r="B4127" s="680"/>
    </row>
    <row r="4128" spans="1:2">
      <c r="A4128" s="126"/>
      <c r="B4128" s="680"/>
    </row>
    <row r="4129" spans="1:2">
      <c r="A4129" s="126"/>
      <c r="B4129" s="680"/>
    </row>
    <row r="4130" spans="1:2">
      <c r="A4130" s="126"/>
      <c r="B4130" s="680"/>
    </row>
    <row r="4131" spans="1:2">
      <c r="A4131" s="126"/>
      <c r="B4131" s="680"/>
    </row>
    <row r="4132" spans="1:2">
      <c r="A4132" s="126"/>
      <c r="B4132" s="680"/>
    </row>
    <row r="4133" spans="1:2">
      <c r="A4133" s="126"/>
      <c r="B4133" s="680"/>
    </row>
    <row r="4134" spans="1:2">
      <c r="A4134" s="126"/>
      <c r="B4134" s="680"/>
    </row>
    <row r="4135" spans="1:2">
      <c r="A4135" s="126"/>
      <c r="B4135" s="680"/>
    </row>
    <row r="4136" spans="1:2">
      <c r="A4136" s="126"/>
      <c r="B4136" s="680"/>
    </row>
    <row r="4137" spans="1:2">
      <c r="A4137" s="126"/>
      <c r="B4137" s="680"/>
    </row>
    <row r="4138" spans="1:2">
      <c r="A4138" s="126"/>
      <c r="B4138" s="680"/>
    </row>
    <row r="4139" spans="1:2">
      <c r="A4139" s="126"/>
      <c r="B4139" s="680"/>
    </row>
    <row r="4140" spans="1:2">
      <c r="A4140" s="126"/>
      <c r="B4140" s="680"/>
    </row>
    <row r="4141" spans="1:2">
      <c r="A4141" s="126"/>
      <c r="B4141" s="680"/>
    </row>
    <row r="4142" spans="1:2">
      <c r="A4142" s="126"/>
      <c r="B4142" s="680"/>
    </row>
    <row r="4143" spans="1:2">
      <c r="A4143" s="126"/>
      <c r="B4143" s="680"/>
    </row>
    <row r="4144" spans="1:2">
      <c r="A4144" s="126"/>
      <c r="B4144" s="680"/>
    </row>
    <row r="4145" spans="1:2">
      <c r="A4145" s="126"/>
      <c r="B4145" s="680"/>
    </row>
    <row r="4146" spans="1:2">
      <c r="A4146" s="126"/>
      <c r="B4146" s="680"/>
    </row>
    <row r="4147" spans="1:2">
      <c r="A4147" s="126"/>
      <c r="B4147" s="680"/>
    </row>
    <row r="4148" spans="1:2">
      <c r="A4148" s="126"/>
      <c r="B4148" s="680"/>
    </row>
    <row r="4149" spans="1:2">
      <c r="A4149" s="126"/>
      <c r="B4149" s="680"/>
    </row>
    <row r="4150" spans="1:2">
      <c r="A4150" s="126"/>
      <c r="B4150" s="680"/>
    </row>
    <row r="4151" spans="1:2">
      <c r="A4151" s="126"/>
      <c r="B4151" s="680"/>
    </row>
    <row r="4152" spans="1:2">
      <c r="A4152" s="126"/>
      <c r="B4152" s="680"/>
    </row>
    <row r="4153" spans="1:2">
      <c r="A4153" s="126"/>
      <c r="B4153" s="680"/>
    </row>
    <row r="4154" spans="1:2">
      <c r="A4154" s="126"/>
      <c r="B4154" s="680"/>
    </row>
    <row r="4155" spans="1:2">
      <c r="A4155" s="126"/>
      <c r="B4155" s="680"/>
    </row>
    <row r="4156" spans="1:2">
      <c r="A4156" s="126"/>
      <c r="B4156" s="680"/>
    </row>
    <row r="4157" spans="1:2">
      <c r="A4157" s="126"/>
      <c r="B4157" s="680"/>
    </row>
    <row r="4158" spans="1:2">
      <c r="A4158" s="126"/>
      <c r="B4158" s="680"/>
    </row>
    <row r="4159" spans="1:2">
      <c r="A4159" s="126"/>
      <c r="B4159" s="680"/>
    </row>
    <row r="4160" spans="1:2">
      <c r="A4160" s="126"/>
      <c r="B4160" s="680"/>
    </row>
    <row r="4161" spans="1:2">
      <c r="A4161" s="126"/>
      <c r="B4161" s="680"/>
    </row>
    <row r="4162" spans="1:2">
      <c r="A4162" s="126"/>
      <c r="B4162" s="680"/>
    </row>
    <row r="4163" spans="1:2">
      <c r="A4163" s="126"/>
      <c r="B4163" s="680"/>
    </row>
    <row r="4164" spans="1:2">
      <c r="A4164" s="126"/>
      <c r="B4164" s="680"/>
    </row>
    <row r="4165" spans="1:2">
      <c r="A4165" s="126"/>
      <c r="B4165" s="680"/>
    </row>
    <row r="4166" spans="1:2">
      <c r="A4166" s="126"/>
      <c r="B4166" s="680"/>
    </row>
    <row r="4167" spans="1:2">
      <c r="A4167" s="126"/>
      <c r="B4167" s="680"/>
    </row>
    <row r="4168" spans="1:2">
      <c r="A4168" s="126"/>
      <c r="B4168" s="680"/>
    </row>
    <row r="4169" spans="1:2">
      <c r="A4169" s="126"/>
      <c r="B4169" s="680"/>
    </row>
    <row r="4170" spans="1:2">
      <c r="A4170" s="126"/>
      <c r="B4170" s="680"/>
    </row>
    <row r="4171" spans="1:2">
      <c r="A4171" s="126"/>
      <c r="B4171" s="680"/>
    </row>
    <row r="4172" spans="1:2">
      <c r="A4172" s="126"/>
      <c r="B4172" s="680"/>
    </row>
    <row r="4173" spans="1:2">
      <c r="A4173" s="126"/>
      <c r="B4173" s="680"/>
    </row>
    <row r="4174" spans="1:2">
      <c r="A4174" s="126"/>
      <c r="B4174" s="680"/>
    </row>
    <row r="4175" spans="1:2">
      <c r="A4175" s="126"/>
      <c r="B4175" s="680"/>
    </row>
    <row r="4176" spans="1:2">
      <c r="A4176" s="126"/>
      <c r="B4176" s="680"/>
    </row>
    <row r="4177" spans="1:2">
      <c r="A4177" s="126"/>
      <c r="B4177" s="680"/>
    </row>
    <row r="4178" spans="1:2">
      <c r="A4178" s="126"/>
      <c r="B4178" s="680"/>
    </row>
    <row r="4179" spans="1:2">
      <c r="A4179" s="126"/>
      <c r="B4179" s="680"/>
    </row>
    <row r="4180" spans="1:2">
      <c r="A4180" s="126"/>
      <c r="B4180" s="680"/>
    </row>
    <row r="4181" spans="1:2">
      <c r="A4181" s="126"/>
      <c r="B4181" s="680"/>
    </row>
    <row r="4182" spans="1:2">
      <c r="A4182" s="126"/>
      <c r="B4182" s="680"/>
    </row>
    <row r="4183" spans="1:2">
      <c r="A4183" s="126"/>
      <c r="B4183" s="680"/>
    </row>
    <row r="4184" spans="1:2">
      <c r="A4184" s="126"/>
      <c r="B4184" s="680"/>
    </row>
    <row r="4185" spans="1:2">
      <c r="A4185" s="126"/>
      <c r="B4185" s="680"/>
    </row>
    <row r="4186" spans="1:2">
      <c r="A4186" s="126"/>
      <c r="B4186" s="680"/>
    </row>
    <row r="4187" spans="1:2">
      <c r="A4187" s="126"/>
      <c r="B4187" s="680"/>
    </row>
    <row r="4188" spans="1:2">
      <c r="A4188" s="126"/>
      <c r="B4188" s="680"/>
    </row>
    <row r="4189" spans="1:2">
      <c r="A4189" s="126"/>
      <c r="B4189" s="680"/>
    </row>
    <row r="4190" spans="1:2">
      <c r="A4190" s="126"/>
      <c r="B4190" s="680"/>
    </row>
    <row r="4191" spans="1:2">
      <c r="A4191" s="126"/>
      <c r="B4191" s="680"/>
    </row>
    <row r="4192" spans="1:2">
      <c r="A4192" s="126"/>
      <c r="B4192" s="680"/>
    </row>
    <row r="4193" spans="1:2">
      <c r="A4193" s="126"/>
      <c r="B4193" s="680"/>
    </row>
    <row r="4194" spans="1:2">
      <c r="A4194" s="126"/>
      <c r="B4194" s="680"/>
    </row>
    <row r="4195" spans="1:2">
      <c r="A4195" s="126"/>
      <c r="B4195" s="680"/>
    </row>
    <row r="4196" spans="1:2">
      <c r="A4196" s="126"/>
      <c r="B4196" s="680"/>
    </row>
    <row r="4197" spans="1:2">
      <c r="A4197" s="126"/>
      <c r="B4197" s="680"/>
    </row>
    <row r="4198" spans="1:2">
      <c r="A4198" s="126"/>
      <c r="B4198" s="680"/>
    </row>
    <row r="4199" spans="1:2">
      <c r="A4199" s="126"/>
      <c r="B4199" s="680"/>
    </row>
    <row r="4200" spans="1:2">
      <c r="A4200" s="126"/>
      <c r="B4200" s="680"/>
    </row>
    <row r="4201" spans="1:2">
      <c r="A4201" s="126"/>
      <c r="B4201" s="680"/>
    </row>
  </sheetData>
  <mergeCells count="7">
    <mergeCell ref="J68:L68"/>
    <mergeCell ref="J37:L37"/>
    <mergeCell ref="A1:P1"/>
    <mergeCell ref="A2:P2"/>
    <mergeCell ref="A3:P3"/>
    <mergeCell ref="B5:G5"/>
    <mergeCell ref="I5:M5"/>
  </mergeCells>
  <pageMargins left="0.70866141732283472" right="0.70866141732283472" top="0.74803149606299213" bottom="0.74803149606299213" header="0.31496062992125984" footer="0.31496062992125984"/>
  <pageSetup paperSize="9" scale="69" orientation="landscape" r:id="rId1"/>
  <headerFooter>
    <oddFooter>&amp;R&amp;P</oddFooter>
  </headerFooter>
</worksheet>
</file>

<file path=xl/worksheets/sheet24.xml><?xml version="1.0" encoding="utf-8"?>
<worksheet xmlns="http://schemas.openxmlformats.org/spreadsheetml/2006/main" xmlns:r="http://schemas.openxmlformats.org/officeDocument/2006/relationships">
  <sheetPr>
    <tabColor rgb="FF66FF66"/>
    <pageSetUpPr fitToPage="1"/>
  </sheetPr>
  <dimension ref="A1:P4201"/>
  <sheetViews>
    <sheetView view="pageBreakPreview" topLeftCell="C1" zoomScaleSheetLayoutView="100" workbookViewId="0">
      <selection activeCell="F70" sqref="F70"/>
    </sheetView>
  </sheetViews>
  <sheetFormatPr defaultRowHeight="12.75"/>
  <cols>
    <col min="1" max="1" width="19.28515625" style="577" customWidth="1"/>
    <col min="2" max="2" width="16.7109375" style="786" customWidth="1"/>
    <col min="3" max="3" width="15.85546875" style="786" bestFit="1" customWidth="1"/>
    <col min="4" max="4" width="13.140625" style="786" customWidth="1"/>
    <col min="5" max="5" width="15.5703125" style="786" bestFit="1" customWidth="1"/>
    <col min="6" max="6" width="16.140625" style="786" bestFit="1" customWidth="1"/>
    <col min="7" max="7" width="2.42578125" style="786" customWidth="1"/>
    <col min="8" max="8" width="13.85546875" style="786" bestFit="1" customWidth="1"/>
    <col min="9" max="9" width="14.140625" style="786" bestFit="1" customWidth="1"/>
    <col min="10" max="10" width="8.7109375" style="786" bestFit="1" customWidth="1"/>
    <col min="11" max="11" width="13.7109375" style="786" bestFit="1" customWidth="1"/>
    <col min="12" max="12" width="0.85546875" style="786" customWidth="1"/>
    <col min="13" max="13" width="19" style="786" bestFit="1" customWidth="1"/>
    <col min="14" max="14" width="14.140625" style="577" bestFit="1" customWidth="1"/>
    <col min="15" max="15" width="11.7109375" style="772" bestFit="1" customWidth="1"/>
    <col min="16" max="16" width="11.85546875" style="772" bestFit="1" customWidth="1"/>
    <col min="17" max="16384" width="9.140625" style="577"/>
  </cols>
  <sheetData>
    <row r="1" spans="1:15">
      <c r="A1" s="1759" t="s">
        <v>1711</v>
      </c>
      <c r="B1" s="1759"/>
      <c r="C1" s="1759"/>
      <c r="D1" s="1759"/>
      <c r="E1" s="1759"/>
      <c r="F1" s="1759"/>
      <c r="G1" s="1759"/>
      <c r="H1" s="1759"/>
      <c r="I1" s="1759"/>
      <c r="J1" s="1759"/>
      <c r="K1" s="1759"/>
      <c r="L1" s="1759"/>
      <c r="M1" s="1759"/>
      <c r="N1" s="1759"/>
    </row>
    <row r="2" spans="1:15">
      <c r="A2" s="1759" t="s">
        <v>1693</v>
      </c>
      <c r="B2" s="1759"/>
      <c r="C2" s="1759"/>
      <c r="D2" s="1759"/>
      <c r="E2" s="1759"/>
      <c r="F2" s="1759"/>
      <c r="G2" s="1759"/>
      <c r="H2" s="1759"/>
      <c r="I2" s="1759"/>
      <c r="J2" s="1759"/>
      <c r="K2" s="1759"/>
      <c r="L2" s="1759"/>
      <c r="M2" s="1759"/>
      <c r="N2" s="1759"/>
    </row>
    <row r="3" spans="1:15">
      <c r="A3" s="1759" t="s">
        <v>2101</v>
      </c>
      <c r="B3" s="1759"/>
      <c r="C3" s="1759"/>
      <c r="D3" s="1759"/>
      <c r="E3" s="1759"/>
      <c r="F3" s="1759"/>
      <c r="G3" s="1759"/>
      <c r="H3" s="1759"/>
      <c r="I3" s="1759"/>
      <c r="J3" s="1759"/>
      <c r="K3" s="1759"/>
      <c r="L3" s="1759"/>
      <c r="M3" s="1759"/>
      <c r="N3" s="1759"/>
    </row>
    <row r="4" spans="1:15">
      <c r="A4" s="773"/>
      <c r="B4" s="681"/>
      <c r="C4" s="681"/>
      <c r="D4" s="681"/>
      <c r="E4" s="681"/>
      <c r="F4" s="681"/>
      <c r="G4" s="681"/>
      <c r="H4" s="681"/>
      <c r="I4" s="681"/>
      <c r="J4" s="681"/>
      <c r="K4" s="681"/>
      <c r="L4" s="681"/>
      <c r="M4" s="681"/>
      <c r="N4" s="774"/>
    </row>
    <row r="5" spans="1:15" ht="14.25" hidden="1" customHeight="1">
      <c r="A5" s="298"/>
      <c r="B5" s="1760" t="s">
        <v>505</v>
      </c>
      <c r="C5" s="1761"/>
      <c r="D5" s="1761"/>
      <c r="E5" s="1761"/>
      <c r="F5" s="1762"/>
      <c r="G5" s="39"/>
      <c r="H5" s="1760" t="s">
        <v>506</v>
      </c>
      <c r="I5" s="1761"/>
      <c r="J5" s="1761"/>
      <c r="K5" s="1762"/>
      <c r="L5" s="39"/>
      <c r="M5" s="299"/>
      <c r="N5" s="787"/>
      <c r="O5" s="788"/>
    </row>
    <row r="6" spans="1:15" ht="38.25" hidden="1">
      <c r="A6" s="43"/>
      <c r="B6" s="40" t="s">
        <v>1190</v>
      </c>
      <c r="C6" s="40" t="s">
        <v>1191</v>
      </c>
      <c r="D6" s="40" t="s">
        <v>626</v>
      </c>
      <c r="E6" s="40" t="s">
        <v>357</v>
      </c>
      <c r="F6" s="40" t="s">
        <v>1909</v>
      </c>
      <c r="G6" s="38"/>
      <c r="H6" s="40" t="s">
        <v>1908</v>
      </c>
      <c r="I6" s="40" t="s">
        <v>627</v>
      </c>
      <c r="J6" s="36" t="s">
        <v>628</v>
      </c>
      <c r="K6" s="40" t="s">
        <v>1909</v>
      </c>
      <c r="L6" s="38"/>
      <c r="M6" s="40" t="s">
        <v>1189</v>
      </c>
      <c r="N6" s="40" t="s">
        <v>1910</v>
      </c>
      <c r="O6" s="788"/>
    </row>
    <row r="7" spans="1:15" hidden="1">
      <c r="A7" s="44"/>
      <c r="B7" s="39" t="s">
        <v>1314</v>
      </c>
      <c r="C7" s="39" t="s">
        <v>1314</v>
      </c>
      <c r="D7" s="39" t="s">
        <v>1314</v>
      </c>
      <c r="E7" s="39" t="s">
        <v>1314</v>
      </c>
      <c r="F7" s="39" t="s">
        <v>1314</v>
      </c>
      <c r="G7" s="39"/>
      <c r="H7" s="39" t="s">
        <v>1314</v>
      </c>
      <c r="I7" s="39" t="s">
        <v>1314</v>
      </c>
      <c r="J7" s="38" t="s">
        <v>1314</v>
      </c>
      <c r="K7" s="39" t="s">
        <v>1314</v>
      </c>
      <c r="L7" s="39"/>
      <c r="M7" s="39" t="s">
        <v>1314</v>
      </c>
      <c r="N7" s="45" t="s">
        <v>1314</v>
      </c>
      <c r="O7" s="70"/>
    </row>
    <row r="8" spans="1:15" hidden="1">
      <c r="A8" s="43" t="s">
        <v>511</v>
      </c>
      <c r="B8" s="41">
        <f>SUM(B9:B19)</f>
        <v>0</v>
      </c>
      <c r="C8" s="41">
        <f>SUM(C9:C19)</f>
        <v>0</v>
      </c>
      <c r="D8" s="41">
        <f>SUM(D9:D19)</f>
        <v>0</v>
      </c>
      <c r="E8" s="41">
        <f>SUM(E9:E19)</f>
        <v>0</v>
      </c>
      <c r="F8" s="41">
        <f>SUM(F9:F19)</f>
        <v>0</v>
      </c>
      <c r="G8" s="41"/>
      <c r="H8" s="41">
        <f>SUM(H9:H19)</f>
        <v>0</v>
      </c>
      <c r="I8" s="41">
        <f>SUM(I9:I19)</f>
        <v>0</v>
      </c>
      <c r="J8" s="41">
        <f>SUM(J9:J19)</f>
        <v>0</v>
      </c>
      <c r="K8" s="41">
        <f>SUM(K9:K19)</f>
        <v>0</v>
      </c>
      <c r="L8" s="41"/>
      <c r="M8" s="41">
        <f>SUM(M9:M19)</f>
        <v>0</v>
      </c>
      <c r="N8" s="42">
        <f>SUM(N9:N19)</f>
        <v>0</v>
      </c>
      <c r="O8" s="789"/>
    </row>
    <row r="9" spans="1:15" ht="25.5" hidden="1">
      <c r="A9" s="131" t="s">
        <v>512</v>
      </c>
      <c r="B9" s="775">
        <v>0</v>
      </c>
      <c r="C9" s="775">
        <v>0</v>
      </c>
      <c r="D9" s="775">
        <v>0</v>
      </c>
      <c r="E9" s="775">
        <v>0</v>
      </c>
      <c r="F9" s="775">
        <f>+B9+C9+D9-E9</f>
        <v>0</v>
      </c>
      <c r="G9" s="776"/>
      <c r="H9" s="775">
        <v>0</v>
      </c>
      <c r="I9" s="775">
        <v>0</v>
      </c>
      <c r="J9" s="777">
        <v>0</v>
      </c>
      <c r="K9" s="775">
        <f>+H9+I9-J9</f>
        <v>0</v>
      </c>
      <c r="L9" s="776"/>
      <c r="M9" s="775">
        <f>+F9-K9</f>
        <v>0</v>
      </c>
      <c r="N9" s="775">
        <v>0</v>
      </c>
      <c r="O9" s="790"/>
    </row>
    <row r="10" spans="1:15" ht="25.5" hidden="1">
      <c r="A10" s="131" t="s">
        <v>513</v>
      </c>
      <c r="B10" s="778">
        <v>0</v>
      </c>
      <c r="C10" s="778">
        <v>0</v>
      </c>
      <c r="D10" s="778">
        <v>0</v>
      </c>
      <c r="E10" s="778">
        <v>0</v>
      </c>
      <c r="F10" s="778">
        <f t="shared" ref="F10:F19" si="0">+B10+C10+D10-E10</f>
        <v>0</v>
      </c>
      <c r="G10" s="776"/>
      <c r="H10" s="778">
        <v>0</v>
      </c>
      <c r="I10" s="778">
        <v>0</v>
      </c>
      <c r="J10" s="779">
        <v>0</v>
      </c>
      <c r="K10" s="778">
        <f t="shared" ref="K10:K19" si="1">+H10+I10-J10</f>
        <v>0</v>
      </c>
      <c r="L10" s="776"/>
      <c r="M10" s="778">
        <f t="shared" ref="M10:M19" si="2">+F10-K10</f>
        <v>0</v>
      </c>
      <c r="N10" s="778">
        <v>0</v>
      </c>
      <c r="O10" s="790"/>
    </row>
    <row r="11" spans="1:15" ht="38.25" hidden="1">
      <c r="A11" s="131" t="s">
        <v>514</v>
      </c>
      <c r="B11" s="778">
        <v>0</v>
      </c>
      <c r="C11" s="778">
        <v>0</v>
      </c>
      <c r="D11" s="778">
        <v>0</v>
      </c>
      <c r="E11" s="778">
        <v>0</v>
      </c>
      <c r="F11" s="778">
        <f t="shared" si="0"/>
        <v>0</v>
      </c>
      <c r="G11" s="776"/>
      <c r="H11" s="778">
        <v>0</v>
      </c>
      <c r="I11" s="778">
        <v>0</v>
      </c>
      <c r="J11" s="779">
        <v>0</v>
      </c>
      <c r="K11" s="778">
        <f t="shared" si="1"/>
        <v>0</v>
      </c>
      <c r="L11" s="776"/>
      <c r="M11" s="778">
        <f t="shared" si="2"/>
        <v>0</v>
      </c>
      <c r="N11" s="778">
        <v>0</v>
      </c>
      <c r="O11" s="790"/>
    </row>
    <row r="12" spans="1:15" ht="25.5" hidden="1">
      <c r="A12" s="131" t="s">
        <v>515</v>
      </c>
      <c r="B12" s="778">
        <v>0</v>
      </c>
      <c r="C12" s="778">
        <v>0</v>
      </c>
      <c r="D12" s="778">
        <v>0</v>
      </c>
      <c r="E12" s="778">
        <v>0</v>
      </c>
      <c r="F12" s="778">
        <f t="shared" si="0"/>
        <v>0</v>
      </c>
      <c r="G12" s="776"/>
      <c r="H12" s="778">
        <v>0</v>
      </c>
      <c r="I12" s="778">
        <v>0</v>
      </c>
      <c r="J12" s="779">
        <v>0</v>
      </c>
      <c r="K12" s="778">
        <f t="shared" si="1"/>
        <v>0</v>
      </c>
      <c r="L12" s="780"/>
      <c r="M12" s="778">
        <f t="shared" si="2"/>
        <v>0</v>
      </c>
      <c r="N12" s="778">
        <v>0</v>
      </c>
      <c r="O12" s="790"/>
    </row>
    <row r="13" spans="1:15" ht="38.25" hidden="1">
      <c r="A13" s="131" t="s">
        <v>516</v>
      </c>
      <c r="B13" s="778">
        <v>0</v>
      </c>
      <c r="C13" s="778">
        <v>0</v>
      </c>
      <c r="D13" s="778">
        <v>0</v>
      </c>
      <c r="E13" s="778">
        <v>0</v>
      </c>
      <c r="F13" s="778">
        <f t="shared" si="0"/>
        <v>0</v>
      </c>
      <c r="G13" s="776"/>
      <c r="H13" s="778">
        <v>0</v>
      </c>
      <c r="I13" s="778">
        <v>0</v>
      </c>
      <c r="J13" s="779">
        <v>0</v>
      </c>
      <c r="K13" s="778">
        <f t="shared" si="1"/>
        <v>0</v>
      </c>
      <c r="L13" s="776"/>
      <c r="M13" s="778">
        <f t="shared" si="2"/>
        <v>0</v>
      </c>
      <c r="N13" s="778">
        <v>0</v>
      </c>
      <c r="O13" s="790"/>
    </row>
    <row r="14" spans="1:15" hidden="1">
      <c r="A14" s="131" t="s">
        <v>517</v>
      </c>
      <c r="B14" s="778">
        <v>0</v>
      </c>
      <c r="C14" s="778">
        <v>0</v>
      </c>
      <c r="D14" s="778">
        <v>0</v>
      </c>
      <c r="E14" s="778">
        <v>0</v>
      </c>
      <c r="F14" s="778">
        <f t="shared" si="0"/>
        <v>0</v>
      </c>
      <c r="G14" s="776"/>
      <c r="H14" s="778">
        <v>0</v>
      </c>
      <c r="I14" s="778">
        <v>0</v>
      </c>
      <c r="J14" s="779">
        <v>0</v>
      </c>
      <c r="K14" s="778">
        <f t="shared" si="1"/>
        <v>0</v>
      </c>
      <c r="L14" s="776"/>
      <c r="M14" s="778">
        <f t="shared" si="2"/>
        <v>0</v>
      </c>
      <c r="N14" s="778">
        <v>0</v>
      </c>
      <c r="O14" s="790"/>
    </row>
    <row r="15" spans="1:15" hidden="1">
      <c r="A15" s="131" t="s">
        <v>518</v>
      </c>
      <c r="B15" s="778">
        <v>0</v>
      </c>
      <c r="C15" s="778">
        <v>0</v>
      </c>
      <c r="D15" s="778">
        <v>0</v>
      </c>
      <c r="E15" s="778">
        <v>0</v>
      </c>
      <c r="F15" s="778">
        <f t="shared" si="0"/>
        <v>0</v>
      </c>
      <c r="G15" s="776"/>
      <c r="H15" s="778">
        <v>0</v>
      </c>
      <c r="I15" s="778">
        <v>0</v>
      </c>
      <c r="J15" s="779">
        <v>0</v>
      </c>
      <c r="K15" s="778">
        <f t="shared" si="1"/>
        <v>0</v>
      </c>
      <c r="L15" s="776"/>
      <c r="M15" s="778">
        <f t="shared" si="2"/>
        <v>0</v>
      </c>
      <c r="N15" s="778">
        <v>0</v>
      </c>
      <c r="O15" s="790"/>
    </row>
    <row r="16" spans="1:15" hidden="1">
      <c r="A16" s="131" t="s">
        <v>519</v>
      </c>
      <c r="B16" s="778">
        <v>0</v>
      </c>
      <c r="C16" s="778">
        <v>0</v>
      </c>
      <c r="D16" s="778">
        <v>0</v>
      </c>
      <c r="E16" s="778">
        <v>0</v>
      </c>
      <c r="F16" s="778">
        <f t="shared" si="0"/>
        <v>0</v>
      </c>
      <c r="G16" s="776"/>
      <c r="H16" s="778">
        <v>0</v>
      </c>
      <c r="I16" s="778">
        <v>0</v>
      </c>
      <c r="J16" s="779">
        <v>0</v>
      </c>
      <c r="K16" s="778">
        <f t="shared" si="1"/>
        <v>0</v>
      </c>
      <c r="L16" s="776"/>
      <c r="M16" s="778">
        <f t="shared" si="2"/>
        <v>0</v>
      </c>
      <c r="N16" s="778">
        <v>0</v>
      </c>
      <c r="O16" s="790"/>
    </row>
    <row r="17" spans="1:15" hidden="1">
      <c r="A17" s="131" t="s">
        <v>635</v>
      </c>
      <c r="B17" s="778">
        <v>0</v>
      </c>
      <c r="C17" s="778">
        <v>0</v>
      </c>
      <c r="D17" s="778"/>
      <c r="E17" s="778"/>
      <c r="F17" s="778">
        <f t="shared" si="0"/>
        <v>0</v>
      </c>
      <c r="G17" s="776"/>
      <c r="H17" s="778">
        <v>0</v>
      </c>
      <c r="I17" s="778">
        <v>0</v>
      </c>
      <c r="J17" s="779"/>
      <c r="K17" s="778">
        <f t="shared" si="1"/>
        <v>0</v>
      </c>
      <c r="L17" s="776"/>
      <c r="M17" s="778">
        <f>+F17-K17</f>
        <v>0</v>
      </c>
      <c r="N17" s="778">
        <v>0</v>
      </c>
      <c r="O17" s="790"/>
    </row>
    <row r="18" spans="1:15" hidden="1">
      <c r="A18" s="131" t="s">
        <v>636</v>
      </c>
      <c r="B18" s="778">
        <v>0</v>
      </c>
      <c r="C18" s="778">
        <v>0</v>
      </c>
      <c r="D18" s="778"/>
      <c r="E18" s="778"/>
      <c r="F18" s="778">
        <f t="shared" si="0"/>
        <v>0</v>
      </c>
      <c r="G18" s="776"/>
      <c r="H18" s="778">
        <v>0</v>
      </c>
      <c r="I18" s="778">
        <v>0</v>
      </c>
      <c r="J18" s="779"/>
      <c r="K18" s="778">
        <f t="shared" si="1"/>
        <v>0</v>
      </c>
      <c r="L18" s="776"/>
      <c r="M18" s="778">
        <f>+F18-K18</f>
        <v>0</v>
      </c>
      <c r="N18" s="778">
        <v>0</v>
      </c>
      <c r="O18" s="790"/>
    </row>
    <row r="19" spans="1:15" ht="25.5" hidden="1">
      <c r="A19" s="131" t="s">
        <v>520</v>
      </c>
      <c r="B19" s="781">
        <v>0</v>
      </c>
      <c r="C19" s="781">
        <v>0</v>
      </c>
      <c r="D19" s="781">
        <v>0</v>
      </c>
      <c r="E19" s="781">
        <v>0</v>
      </c>
      <c r="F19" s="781">
        <f t="shared" si="0"/>
        <v>0</v>
      </c>
      <c r="G19" s="776"/>
      <c r="H19" s="781"/>
      <c r="I19" s="781">
        <v>0</v>
      </c>
      <c r="J19" s="782">
        <v>0</v>
      </c>
      <c r="K19" s="781">
        <f t="shared" si="1"/>
        <v>0</v>
      </c>
      <c r="L19" s="776"/>
      <c r="M19" s="781">
        <f t="shared" si="2"/>
        <v>0</v>
      </c>
      <c r="N19" s="781">
        <v>0</v>
      </c>
      <c r="O19" s="790"/>
    </row>
    <row r="20" spans="1:15" ht="12.75" hidden="1" customHeight="1">
      <c r="A20" s="131"/>
      <c r="B20" s="776"/>
      <c r="C20" s="776"/>
      <c r="D20" s="776"/>
      <c r="E20" s="776"/>
      <c r="F20" s="776"/>
      <c r="G20" s="776"/>
      <c r="H20" s="776"/>
      <c r="I20" s="776"/>
      <c r="J20" s="783"/>
      <c r="K20" s="776"/>
      <c r="L20" s="776"/>
      <c r="M20" s="776"/>
      <c r="N20" s="784"/>
      <c r="O20" s="790"/>
    </row>
    <row r="21" spans="1:15" ht="25.5" hidden="1">
      <c r="A21" s="43" t="s">
        <v>521</v>
      </c>
      <c r="B21" s="41">
        <f>SUM(B22:B24)</f>
        <v>49530850</v>
      </c>
      <c r="C21" s="41">
        <f>SUM(C22:C24)</f>
        <v>218000</v>
      </c>
      <c r="D21" s="41">
        <f>SUM(D22:D24)</f>
        <v>0</v>
      </c>
      <c r="E21" s="41">
        <f>SUM(E22:E24)</f>
        <v>14042850</v>
      </c>
      <c r="F21" s="41">
        <f>SUM(F22:F24)</f>
        <v>35706000</v>
      </c>
      <c r="G21" s="41"/>
      <c r="H21" s="41">
        <f>SUM(H22:H24)</f>
        <v>0</v>
      </c>
      <c r="I21" s="41">
        <f>SUM(I22:I24)</f>
        <v>0</v>
      </c>
      <c r="J21" s="41">
        <f>SUM(J22:J24)</f>
        <v>0</v>
      </c>
      <c r="K21" s="41">
        <f>SUM(K22:K24)</f>
        <v>0</v>
      </c>
      <c r="L21" s="41"/>
      <c r="M21" s="41">
        <f>SUM(M22:M24)</f>
        <v>35706000</v>
      </c>
      <c r="N21" s="42">
        <f>SUM(N22:N24)</f>
        <v>0</v>
      </c>
      <c r="O21" s="789"/>
    </row>
    <row r="22" spans="1:15" hidden="1">
      <c r="A22" s="131" t="s">
        <v>639</v>
      </c>
      <c r="B22" s="775">
        <v>0</v>
      </c>
      <c r="C22" s="775">
        <v>0</v>
      </c>
      <c r="D22" s="775">
        <v>0</v>
      </c>
      <c r="E22" s="775">
        <v>0</v>
      </c>
      <c r="F22" s="775">
        <v>0</v>
      </c>
      <c r="G22" s="776"/>
      <c r="H22" s="775">
        <v>0</v>
      </c>
      <c r="I22" s="775">
        <v>0</v>
      </c>
      <c r="J22" s="777">
        <v>0</v>
      </c>
      <c r="K22" s="775">
        <v>0</v>
      </c>
      <c r="L22" s="776"/>
      <c r="M22" s="775">
        <f>+F22-K22</f>
        <v>0</v>
      </c>
      <c r="N22" s="775">
        <v>0</v>
      </c>
      <c r="O22" s="790"/>
    </row>
    <row r="23" spans="1:15" hidden="1">
      <c r="A23" s="131" t="s">
        <v>660</v>
      </c>
      <c r="B23" s="778">
        <v>0</v>
      </c>
      <c r="C23" s="778">
        <v>0</v>
      </c>
      <c r="D23" s="778">
        <v>0</v>
      </c>
      <c r="E23" s="778">
        <v>0</v>
      </c>
      <c r="F23" s="778">
        <v>0</v>
      </c>
      <c r="G23" s="776"/>
      <c r="H23" s="778">
        <v>0</v>
      </c>
      <c r="I23" s="778">
        <v>0</v>
      </c>
      <c r="J23" s="779">
        <v>0</v>
      </c>
      <c r="K23" s="778">
        <v>0</v>
      </c>
      <c r="L23" s="776"/>
      <c r="M23" s="778">
        <f>+F23-K23</f>
        <v>0</v>
      </c>
      <c r="N23" s="778">
        <v>0</v>
      </c>
      <c r="O23" s="790"/>
    </row>
    <row r="24" spans="1:15" hidden="1">
      <c r="A24" s="131" t="s">
        <v>1310</v>
      </c>
      <c r="B24" s="781">
        <v>49530850</v>
      </c>
      <c r="C24" s="781">
        <v>218000</v>
      </c>
      <c r="D24" s="781">
        <v>0</v>
      </c>
      <c r="E24" s="781">
        <v>14042850</v>
      </c>
      <c r="F24" s="781">
        <f>+B24+C24+D24-E24</f>
        <v>35706000</v>
      </c>
      <c r="G24" s="776"/>
      <c r="H24" s="781">
        <v>0</v>
      </c>
      <c r="I24" s="781">
        <v>0</v>
      </c>
      <c r="J24" s="782">
        <v>0</v>
      </c>
      <c r="K24" s="781">
        <f>+H24+I24-J24</f>
        <v>0</v>
      </c>
      <c r="L24" s="776"/>
      <c r="M24" s="781">
        <f>+F24-K24</f>
        <v>35706000</v>
      </c>
      <c r="N24" s="781">
        <v>0</v>
      </c>
      <c r="O24" s="790"/>
    </row>
    <row r="25" spans="1:15" hidden="1">
      <c r="A25" s="131"/>
      <c r="B25" s="776" t="s">
        <v>36</v>
      </c>
      <c r="C25" s="776" t="s">
        <v>36</v>
      </c>
      <c r="D25" s="776"/>
      <c r="E25" s="776"/>
      <c r="F25" s="776" t="s">
        <v>36</v>
      </c>
      <c r="G25" s="776"/>
      <c r="H25" s="776"/>
      <c r="I25" s="776" t="s">
        <v>36</v>
      </c>
      <c r="J25" s="783"/>
      <c r="K25" s="776"/>
      <c r="L25" s="776"/>
      <c r="M25" s="776"/>
      <c r="N25" s="784"/>
      <c r="O25" s="790"/>
    </row>
    <row r="26" spans="1:15" hidden="1">
      <c r="A26" s="43" t="s">
        <v>1184</v>
      </c>
      <c r="B26" s="41">
        <f>SUM(B27:B34)</f>
        <v>0</v>
      </c>
      <c r="C26" s="41">
        <f>SUM(C27:C34)</f>
        <v>0</v>
      </c>
      <c r="D26" s="41">
        <f>SUM(D27:D34)</f>
        <v>0</v>
      </c>
      <c r="E26" s="41">
        <f>SUM(E27:E34)</f>
        <v>0</v>
      </c>
      <c r="F26" s="41">
        <f>SUM(F27:F34)</f>
        <v>0</v>
      </c>
      <c r="G26" s="41"/>
      <c r="H26" s="41">
        <f>SUM(H27:H34)</f>
        <v>0</v>
      </c>
      <c r="I26" s="41">
        <f>SUM(I27:I34)</f>
        <v>0</v>
      </c>
      <c r="J26" s="41">
        <f>SUM(J27:J34)</f>
        <v>0</v>
      </c>
      <c r="K26" s="41">
        <f>SUM(K27:K34)</f>
        <v>0</v>
      </c>
      <c r="L26" s="41"/>
      <c r="M26" s="41">
        <f>SUM(M27:M34)</f>
        <v>0</v>
      </c>
      <c r="N26" s="42">
        <f>SUM(N27:N34)</f>
        <v>0</v>
      </c>
      <c r="O26" s="789"/>
    </row>
    <row r="27" spans="1:15" hidden="1">
      <c r="A27" s="131" t="s">
        <v>1312</v>
      </c>
      <c r="B27" s="775">
        <v>0</v>
      </c>
      <c r="C27" s="775">
        <v>0</v>
      </c>
      <c r="D27" s="775">
        <v>0</v>
      </c>
      <c r="E27" s="775">
        <v>0</v>
      </c>
      <c r="F27" s="775">
        <f t="shared" ref="F27:F34" si="3">+B27+C27+D27-E27</f>
        <v>0</v>
      </c>
      <c r="G27" s="776"/>
      <c r="H27" s="775">
        <v>0</v>
      </c>
      <c r="I27" s="775">
        <v>0</v>
      </c>
      <c r="J27" s="777">
        <v>0</v>
      </c>
      <c r="K27" s="775">
        <f t="shared" ref="K27:K34" si="4">+H27+I27-J27</f>
        <v>0</v>
      </c>
      <c r="L27" s="776"/>
      <c r="M27" s="775">
        <f t="shared" ref="M27:M34" si="5">+F27-K27</f>
        <v>0</v>
      </c>
      <c r="N27" s="775">
        <v>0</v>
      </c>
      <c r="O27" s="790"/>
    </row>
    <row r="28" spans="1:15" hidden="1">
      <c r="A28" s="131" t="s">
        <v>1185</v>
      </c>
      <c r="B28" s="778">
        <v>0</v>
      </c>
      <c r="C28" s="778">
        <v>0</v>
      </c>
      <c r="D28" s="778">
        <v>0</v>
      </c>
      <c r="E28" s="778">
        <v>0</v>
      </c>
      <c r="F28" s="778">
        <v>0</v>
      </c>
      <c r="G28" s="776"/>
      <c r="H28" s="778">
        <v>0</v>
      </c>
      <c r="I28" s="778">
        <v>0</v>
      </c>
      <c r="J28" s="779">
        <v>0</v>
      </c>
      <c r="K28" s="778">
        <f>+H28+I28-J28</f>
        <v>0</v>
      </c>
      <c r="L28" s="776"/>
      <c r="M28" s="778">
        <f t="shared" si="5"/>
        <v>0</v>
      </c>
      <c r="N28" s="778">
        <v>0</v>
      </c>
      <c r="O28" s="790"/>
    </row>
    <row r="29" spans="1:15" hidden="1">
      <c r="A29" s="131" t="s">
        <v>1186</v>
      </c>
      <c r="B29" s="778">
        <v>0</v>
      </c>
      <c r="C29" s="778">
        <v>0</v>
      </c>
      <c r="D29" s="778">
        <v>0</v>
      </c>
      <c r="E29" s="778">
        <v>0</v>
      </c>
      <c r="F29" s="778">
        <f t="shared" si="3"/>
        <v>0</v>
      </c>
      <c r="G29" s="776"/>
      <c r="H29" s="778">
        <v>0</v>
      </c>
      <c r="I29" s="778">
        <v>0</v>
      </c>
      <c r="J29" s="779">
        <v>0</v>
      </c>
      <c r="K29" s="778">
        <f t="shared" si="4"/>
        <v>0</v>
      </c>
      <c r="L29" s="776"/>
      <c r="M29" s="778">
        <f t="shared" si="5"/>
        <v>0</v>
      </c>
      <c r="N29" s="778">
        <v>0</v>
      </c>
      <c r="O29" s="790"/>
    </row>
    <row r="30" spans="1:15" hidden="1">
      <c r="A30" s="131" t="s">
        <v>637</v>
      </c>
      <c r="B30" s="778">
        <v>0</v>
      </c>
      <c r="C30" s="778">
        <v>0</v>
      </c>
      <c r="D30" s="778">
        <v>0</v>
      </c>
      <c r="E30" s="778">
        <v>0</v>
      </c>
      <c r="F30" s="778">
        <f t="shared" si="3"/>
        <v>0</v>
      </c>
      <c r="G30" s="776"/>
      <c r="H30" s="778">
        <v>0</v>
      </c>
      <c r="I30" s="778">
        <v>0</v>
      </c>
      <c r="J30" s="779">
        <v>0</v>
      </c>
      <c r="K30" s="778">
        <f t="shared" si="4"/>
        <v>0</v>
      </c>
      <c r="L30" s="776"/>
      <c r="M30" s="778">
        <f t="shared" si="5"/>
        <v>0</v>
      </c>
      <c r="N30" s="778">
        <v>0</v>
      </c>
      <c r="O30" s="790"/>
    </row>
    <row r="31" spans="1:15" ht="25.5" hidden="1">
      <c r="A31" s="131" t="s">
        <v>638</v>
      </c>
      <c r="B31" s="778">
        <v>0</v>
      </c>
      <c r="C31" s="778">
        <v>0</v>
      </c>
      <c r="D31" s="778">
        <v>0</v>
      </c>
      <c r="E31" s="778">
        <v>0</v>
      </c>
      <c r="F31" s="778">
        <f t="shared" si="3"/>
        <v>0</v>
      </c>
      <c r="G31" s="776"/>
      <c r="H31" s="778">
        <v>0</v>
      </c>
      <c r="I31" s="778">
        <v>0</v>
      </c>
      <c r="J31" s="779">
        <v>0</v>
      </c>
      <c r="K31" s="778">
        <f t="shared" si="4"/>
        <v>0</v>
      </c>
      <c r="L31" s="776"/>
      <c r="M31" s="778">
        <f>+F31-K31</f>
        <v>0</v>
      </c>
      <c r="N31" s="778">
        <v>0</v>
      </c>
      <c r="O31" s="790"/>
    </row>
    <row r="32" spans="1:15" hidden="1">
      <c r="A32" s="131" t="s">
        <v>661</v>
      </c>
      <c r="B32" s="778">
        <v>0</v>
      </c>
      <c r="C32" s="778">
        <v>0</v>
      </c>
      <c r="D32" s="778">
        <v>0</v>
      </c>
      <c r="E32" s="778">
        <v>0</v>
      </c>
      <c r="F32" s="778">
        <f t="shared" si="3"/>
        <v>0</v>
      </c>
      <c r="G32" s="776"/>
      <c r="H32" s="778">
        <v>0</v>
      </c>
      <c r="I32" s="778">
        <v>0</v>
      </c>
      <c r="J32" s="779">
        <v>0</v>
      </c>
      <c r="K32" s="778">
        <f t="shared" si="4"/>
        <v>0</v>
      </c>
      <c r="L32" s="776"/>
      <c r="M32" s="778">
        <f t="shared" si="5"/>
        <v>0</v>
      </c>
      <c r="N32" s="778">
        <v>0</v>
      </c>
      <c r="O32" s="790"/>
    </row>
    <row r="33" spans="1:15" ht="25.5" hidden="1">
      <c r="A33" s="131" t="s">
        <v>640</v>
      </c>
      <c r="B33" s="778">
        <v>0</v>
      </c>
      <c r="C33" s="778">
        <v>0</v>
      </c>
      <c r="D33" s="778">
        <v>0</v>
      </c>
      <c r="E33" s="778">
        <v>0</v>
      </c>
      <c r="F33" s="778">
        <f t="shared" si="3"/>
        <v>0</v>
      </c>
      <c r="G33" s="776"/>
      <c r="H33" s="778">
        <v>0</v>
      </c>
      <c r="I33" s="778">
        <v>0</v>
      </c>
      <c r="J33" s="779">
        <v>0</v>
      </c>
      <c r="K33" s="778">
        <f t="shared" si="4"/>
        <v>0</v>
      </c>
      <c r="L33" s="776"/>
      <c r="M33" s="778">
        <f t="shared" si="5"/>
        <v>0</v>
      </c>
      <c r="N33" s="778">
        <v>0</v>
      </c>
      <c r="O33" s="790"/>
    </row>
    <row r="34" spans="1:15" hidden="1">
      <c r="A34" s="131" t="s">
        <v>641</v>
      </c>
      <c r="B34" s="781">
        <v>0</v>
      </c>
      <c r="C34" s="781">
        <v>0</v>
      </c>
      <c r="D34" s="781">
        <v>0</v>
      </c>
      <c r="E34" s="781">
        <v>0</v>
      </c>
      <c r="F34" s="781">
        <f t="shared" si="3"/>
        <v>0</v>
      </c>
      <c r="G34" s="776"/>
      <c r="H34" s="781">
        <v>0</v>
      </c>
      <c r="I34" s="781">
        <v>0</v>
      </c>
      <c r="J34" s="782">
        <v>0</v>
      </c>
      <c r="K34" s="781">
        <f t="shared" si="4"/>
        <v>0</v>
      </c>
      <c r="L34" s="776"/>
      <c r="M34" s="781">
        <f t="shared" si="5"/>
        <v>0</v>
      </c>
      <c r="N34" s="781">
        <v>0</v>
      </c>
      <c r="O34" s="790"/>
    </row>
    <row r="35" spans="1:15" hidden="1">
      <c r="A35" s="131"/>
      <c r="B35" s="776"/>
      <c r="C35" s="776"/>
      <c r="D35" s="776"/>
      <c r="E35" s="776"/>
      <c r="F35" s="776"/>
      <c r="G35" s="776"/>
      <c r="H35" s="776"/>
      <c r="I35" s="776"/>
      <c r="J35" s="783"/>
      <c r="K35" s="776"/>
      <c r="L35" s="776"/>
      <c r="M35" s="776"/>
      <c r="N35" s="784"/>
      <c r="O35" s="790"/>
    </row>
    <row r="36" spans="1:15" hidden="1">
      <c r="A36" s="43" t="s">
        <v>1188</v>
      </c>
      <c r="B36" s="41">
        <f>B26+B21+B8</f>
        <v>49530850</v>
      </c>
      <c r="C36" s="41">
        <f>C26+C21+C8</f>
        <v>218000</v>
      </c>
      <c r="D36" s="41">
        <f>D26+D21+D8</f>
        <v>0</v>
      </c>
      <c r="E36" s="41">
        <f>E26+E21+E8</f>
        <v>14042850</v>
      </c>
      <c r="F36" s="41">
        <f>F26+F21+F8</f>
        <v>35706000</v>
      </c>
      <c r="G36" s="41"/>
      <c r="H36" s="41">
        <f>H26+H21+H8</f>
        <v>0</v>
      </c>
      <c r="I36" s="41">
        <f>I26+I21+I8</f>
        <v>0</v>
      </c>
      <c r="J36" s="41">
        <f>J26+J21+J8</f>
        <v>0</v>
      </c>
      <c r="K36" s="41">
        <f>K26+K21+K8</f>
        <v>0</v>
      </c>
      <c r="L36" s="41"/>
      <c r="M36" s="41">
        <f>M26+M21+M8</f>
        <v>35706000</v>
      </c>
      <c r="N36" s="42">
        <f>N26+N21+N8</f>
        <v>0</v>
      </c>
      <c r="O36" s="789"/>
    </row>
    <row r="37" spans="1:15">
      <c r="A37" s="48"/>
      <c r="B37" s="303"/>
      <c r="C37" s="303"/>
      <c r="D37" s="303"/>
      <c r="E37" s="303"/>
      <c r="F37" s="303"/>
      <c r="G37" s="303"/>
      <c r="H37" s="303"/>
      <c r="I37" s="1758"/>
      <c r="J37" s="1758"/>
      <c r="K37" s="303"/>
      <c r="L37" s="303"/>
      <c r="M37" s="303"/>
      <c r="N37" s="46"/>
      <c r="O37" s="789"/>
    </row>
    <row r="38" spans="1:15">
      <c r="A38" s="773"/>
      <c r="B38" s="681"/>
      <c r="C38" s="681"/>
      <c r="D38" s="681"/>
      <c r="E38" s="681"/>
      <c r="F38" s="681"/>
      <c r="G38" s="681"/>
      <c r="H38" s="681"/>
      <c r="I38" s="681"/>
      <c r="J38" s="681"/>
      <c r="K38" s="681"/>
      <c r="L38" s="681"/>
      <c r="M38" s="681"/>
      <c r="N38" s="774"/>
    </row>
    <row r="39" spans="1:15">
      <c r="A39" s="298"/>
      <c r="B39" s="1760" t="s">
        <v>505</v>
      </c>
      <c r="C39" s="1761"/>
      <c r="D39" s="1761"/>
      <c r="E39" s="1761"/>
      <c r="F39" s="1762"/>
      <c r="G39" s="39"/>
      <c r="H39" s="1760" t="s">
        <v>506</v>
      </c>
      <c r="I39" s="1761"/>
      <c r="J39" s="1761"/>
      <c r="K39" s="1762"/>
      <c r="L39" s="39"/>
      <c r="M39" s="299"/>
      <c r="N39" s="787"/>
    </row>
    <row r="40" spans="1:15" ht="38.25">
      <c r="A40" s="43"/>
      <c r="B40" s="40" t="s">
        <v>2104</v>
      </c>
      <c r="C40" s="40" t="s">
        <v>1191</v>
      </c>
      <c r="D40" s="40" t="s">
        <v>626</v>
      </c>
      <c r="E40" s="40" t="s">
        <v>357</v>
      </c>
      <c r="F40" s="40" t="s">
        <v>2105</v>
      </c>
      <c r="G40" s="38"/>
      <c r="H40" s="40" t="s">
        <v>2104</v>
      </c>
      <c r="I40" s="40" t="s">
        <v>627</v>
      </c>
      <c r="J40" s="36" t="s">
        <v>628</v>
      </c>
      <c r="K40" s="40" t="s">
        <v>2105</v>
      </c>
      <c r="L40" s="38"/>
      <c r="M40" s="40" t="s">
        <v>1189</v>
      </c>
      <c r="N40" s="40" t="s">
        <v>2100</v>
      </c>
    </row>
    <row r="41" spans="1:15">
      <c r="A41" s="44"/>
      <c r="B41" s="39" t="s">
        <v>1314</v>
      </c>
      <c r="C41" s="39" t="s">
        <v>1314</v>
      </c>
      <c r="D41" s="39" t="s">
        <v>1314</v>
      </c>
      <c r="E41" s="39" t="s">
        <v>1314</v>
      </c>
      <c r="F41" s="39" t="s">
        <v>1314</v>
      </c>
      <c r="G41" s="39"/>
      <c r="H41" s="39" t="s">
        <v>1314</v>
      </c>
      <c r="I41" s="39" t="s">
        <v>1314</v>
      </c>
      <c r="J41" s="38" t="s">
        <v>1314</v>
      </c>
      <c r="K41" s="39" t="s">
        <v>1314</v>
      </c>
      <c r="L41" s="39"/>
      <c r="M41" s="39" t="s">
        <v>1314</v>
      </c>
      <c r="N41" s="45" t="s">
        <v>1314</v>
      </c>
    </row>
    <row r="42" spans="1:15">
      <c r="A42" s="43" t="s">
        <v>511</v>
      </c>
      <c r="B42" s="41">
        <f>SUM(B43:B53)</f>
        <v>0</v>
      </c>
      <c r="C42" s="41">
        <f>SUM(C43:C53)</f>
        <v>0</v>
      </c>
      <c r="D42" s="41">
        <f>SUM(D43:D53)</f>
        <v>0</v>
      </c>
      <c r="E42" s="41">
        <f>SUM(E43:E53)</f>
        <v>0</v>
      </c>
      <c r="F42" s="41">
        <f>SUM(F43:F53)</f>
        <v>0</v>
      </c>
      <c r="G42" s="41"/>
      <c r="H42" s="41">
        <f>SUM(H43:H53)</f>
        <v>0</v>
      </c>
      <c r="I42" s="41">
        <f>SUM(I43:I53)</f>
        <v>0</v>
      </c>
      <c r="J42" s="41">
        <f>SUM(J43:J53)</f>
        <v>0</v>
      </c>
      <c r="K42" s="41">
        <f>SUM(K43:K53)</f>
        <v>0</v>
      </c>
      <c r="L42" s="41"/>
      <c r="M42" s="41">
        <f>SUM(M43:M53)</f>
        <v>0</v>
      </c>
      <c r="N42" s="42">
        <f>SUM(N43:N53)</f>
        <v>0</v>
      </c>
    </row>
    <row r="43" spans="1:15" ht="25.5">
      <c r="A43" s="131" t="s">
        <v>512</v>
      </c>
      <c r="B43" s="775">
        <v>0</v>
      </c>
      <c r="C43" s="775">
        <v>0</v>
      </c>
      <c r="D43" s="775">
        <v>0</v>
      </c>
      <c r="E43" s="775">
        <v>0</v>
      </c>
      <c r="F43" s="775">
        <f>+B43+C43+D43-E43</f>
        <v>0</v>
      </c>
      <c r="G43" s="776"/>
      <c r="H43" s="775">
        <v>0</v>
      </c>
      <c r="I43" s="775">
        <v>0</v>
      </c>
      <c r="J43" s="777">
        <v>0</v>
      </c>
      <c r="K43" s="775">
        <f>+H43+I43-J43</f>
        <v>0</v>
      </c>
      <c r="L43" s="776"/>
      <c r="M43" s="775">
        <f>+F43-K43</f>
        <v>0</v>
      </c>
      <c r="N43" s="775">
        <v>0</v>
      </c>
    </row>
    <row r="44" spans="1:15" ht="25.5">
      <c r="A44" s="131" t="s">
        <v>513</v>
      </c>
      <c r="B44" s="778">
        <v>0</v>
      </c>
      <c r="C44" s="778">
        <v>0</v>
      </c>
      <c r="D44" s="778">
        <v>0</v>
      </c>
      <c r="E44" s="778">
        <v>0</v>
      </c>
      <c r="F44" s="778">
        <f t="shared" ref="F44:F53" si="6">+B44+C44+D44-E44</f>
        <v>0</v>
      </c>
      <c r="G44" s="776"/>
      <c r="H44" s="778">
        <v>0</v>
      </c>
      <c r="I44" s="778">
        <v>0</v>
      </c>
      <c r="J44" s="779">
        <v>0</v>
      </c>
      <c r="K44" s="778">
        <f t="shared" ref="K44:K53" si="7">+H44+I44-J44</f>
        <v>0</v>
      </c>
      <c r="L44" s="776"/>
      <c r="M44" s="778">
        <f t="shared" ref="M44:M50" si="8">+F44-K44</f>
        <v>0</v>
      </c>
      <c r="N44" s="778">
        <v>0</v>
      </c>
    </row>
    <row r="45" spans="1:15" ht="38.25">
      <c r="A45" s="131" t="s">
        <v>514</v>
      </c>
      <c r="B45" s="778">
        <v>0</v>
      </c>
      <c r="C45" s="778">
        <v>0</v>
      </c>
      <c r="D45" s="778">
        <v>0</v>
      </c>
      <c r="E45" s="778">
        <v>0</v>
      </c>
      <c r="F45" s="778">
        <f t="shared" si="6"/>
        <v>0</v>
      </c>
      <c r="G45" s="776"/>
      <c r="H45" s="778">
        <v>0</v>
      </c>
      <c r="I45" s="778">
        <v>0</v>
      </c>
      <c r="J45" s="779">
        <v>0</v>
      </c>
      <c r="K45" s="778">
        <f t="shared" si="7"/>
        <v>0</v>
      </c>
      <c r="L45" s="776"/>
      <c r="M45" s="778">
        <f t="shared" si="8"/>
        <v>0</v>
      </c>
      <c r="N45" s="778">
        <v>0</v>
      </c>
    </row>
    <row r="46" spans="1:15" ht="25.5">
      <c r="A46" s="131" t="s">
        <v>515</v>
      </c>
      <c r="B46" s="778">
        <v>0</v>
      </c>
      <c r="C46" s="778">
        <v>0</v>
      </c>
      <c r="D46" s="778">
        <v>0</v>
      </c>
      <c r="E46" s="778">
        <v>0</v>
      </c>
      <c r="F46" s="778">
        <f t="shared" si="6"/>
        <v>0</v>
      </c>
      <c r="G46" s="776"/>
      <c r="H46" s="778">
        <v>0</v>
      </c>
      <c r="I46" s="778">
        <v>0</v>
      </c>
      <c r="J46" s="779">
        <v>0</v>
      </c>
      <c r="K46" s="778">
        <f t="shared" si="7"/>
        <v>0</v>
      </c>
      <c r="L46" s="780"/>
      <c r="M46" s="778">
        <f t="shared" si="8"/>
        <v>0</v>
      </c>
      <c r="N46" s="778">
        <v>0</v>
      </c>
    </row>
    <row r="47" spans="1:15" ht="38.25">
      <c r="A47" s="131" t="s">
        <v>516</v>
      </c>
      <c r="B47" s="778">
        <v>0</v>
      </c>
      <c r="C47" s="778">
        <v>0</v>
      </c>
      <c r="D47" s="778">
        <v>0</v>
      </c>
      <c r="E47" s="778">
        <v>0</v>
      </c>
      <c r="F47" s="778">
        <f t="shared" si="6"/>
        <v>0</v>
      </c>
      <c r="G47" s="776"/>
      <c r="H47" s="778">
        <v>0</v>
      </c>
      <c r="I47" s="778">
        <v>0</v>
      </c>
      <c r="J47" s="779">
        <v>0</v>
      </c>
      <c r="K47" s="778">
        <f t="shared" si="7"/>
        <v>0</v>
      </c>
      <c r="L47" s="776"/>
      <c r="M47" s="778">
        <f t="shared" si="8"/>
        <v>0</v>
      </c>
      <c r="N47" s="778">
        <v>0</v>
      </c>
    </row>
    <row r="48" spans="1:15">
      <c r="A48" s="131" t="s">
        <v>517</v>
      </c>
      <c r="B48" s="778">
        <v>0</v>
      </c>
      <c r="C48" s="778">
        <v>0</v>
      </c>
      <c r="D48" s="778">
        <v>0</v>
      </c>
      <c r="E48" s="778">
        <v>0</v>
      </c>
      <c r="F48" s="778">
        <f t="shared" si="6"/>
        <v>0</v>
      </c>
      <c r="G48" s="776"/>
      <c r="H48" s="778">
        <v>0</v>
      </c>
      <c r="I48" s="778">
        <v>0</v>
      </c>
      <c r="J48" s="779">
        <v>0</v>
      </c>
      <c r="K48" s="778">
        <f t="shared" si="7"/>
        <v>0</v>
      </c>
      <c r="L48" s="776"/>
      <c r="M48" s="778">
        <f t="shared" si="8"/>
        <v>0</v>
      </c>
      <c r="N48" s="778">
        <v>0</v>
      </c>
    </row>
    <row r="49" spans="1:14">
      <c r="A49" s="131" t="s">
        <v>518</v>
      </c>
      <c r="B49" s="778">
        <v>0</v>
      </c>
      <c r="C49" s="778">
        <v>0</v>
      </c>
      <c r="D49" s="778">
        <v>0</v>
      </c>
      <c r="E49" s="778">
        <v>0</v>
      </c>
      <c r="F49" s="778">
        <f t="shared" si="6"/>
        <v>0</v>
      </c>
      <c r="G49" s="776"/>
      <c r="H49" s="778">
        <v>0</v>
      </c>
      <c r="I49" s="778">
        <v>0</v>
      </c>
      <c r="J49" s="779">
        <v>0</v>
      </c>
      <c r="K49" s="778">
        <f t="shared" si="7"/>
        <v>0</v>
      </c>
      <c r="L49" s="776"/>
      <c r="M49" s="778">
        <f t="shared" si="8"/>
        <v>0</v>
      </c>
      <c r="N49" s="778">
        <v>0</v>
      </c>
    </row>
    <row r="50" spans="1:14">
      <c r="A50" s="131" t="s">
        <v>519</v>
      </c>
      <c r="B50" s="778">
        <v>0</v>
      </c>
      <c r="C50" s="778">
        <v>0</v>
      </c>
      <c r="D50" s="778">
        <v>0</v>
      </c>
      <c r="E50" s="778">
        <v>0</v>
      </c>
      <c r="F50" s="778">
        <f t="shared" si="6"/>
        <v>0</v>
      </c>
      <c r="G50" s="776"/>
      <c r="H50" s="778">
        <v>0</v>
      </c>
      <c r="I50" s="778">
        <v>0</v>
      </c>
      <c r="J50" s="779">
        <v>0</v>
      </c>
      <c r="K50" s="778">
        <f t="shared" si="7"/>
        <v>0</v>
      </c>
      <c r="L50" s="776"/>
      <c r="M50" s="778">
        <f t="shared" si="8"/>
        <v>0</v>
      </c>
      <c r="N50" s="778">
        <v>0</v>
      </c>
    </row>
    <row r="51" spans="1:14">
      <c r="A51" s="131" t="s">
        <v>635</v>
      </c>
      <c r="B51" s="778">
        <v>0</v>
      </c>
      <c r="C51" s="778">
        <v>0</v>
      </c>
      <c r="D51" s="778"/>
      <c r="E51" s="778"/>
      <c r="F51" s="778">
        <f t="shared" si="6"/>
        <v>0</v>
      </c>
      <c r="G51" s="776"/>
      <c r="H51" s="778">
        <v>0</v>
      </c>
      <c r="I51" s="778">
        <v>0</v>
      </c>
      <c r="J51" s="779"/>
      <c r="K51" s="778">
        <f t="shared" si="7"/>
        <v>0</v>
      </c>
      <c r="L51" s="776"/>
      <c r="M51" s="778">
        <f>+F51-K51</f>
        <v>0</v>
      </c>
      <c r="N51" s="778">
        <v>0</v>
      </c>
    </row>
    <row r="52" spans="1:14">
      <c r="A52" s="131" t="s">
        <v>636</v>
      </c>
      <c r="B52" s="778">
        <v>0</v>
      </c>
      <c r="C52" s="778">
        <v>0</v>
      </c>
      <c r="D52" s="778"/>
      <c r="E52" s="778"/>
      <c r="F52" s="778">
        <f t="shared" si="6"/>
        <v>0</v>
      </c>
      <c r="G52" s="776"/>
      <c r="H52" s="778">
        <v>0</v>
      </c>
      <c r="I52" s="778">
        <v>0</v>
      </c>
      <c r="J52" s="779"/>
      <c r="K52" s="778">
        <f t="shared" si="7"/>
        <v>0</v>
      </c>
      <c r="L52" s="776"/>
      <c r="M52" s="778">
        <f>+F52-K52</f>
        <v>0</v>
      </c>
      <c r="N52" s="778">
        <v>0</v>
      </c>
    </row>
    <row r="53" spans="1:14" ht="25.5">
      <c r="A53" s="131" t="s">
        <v>520</v>
      </c>
      <c r="B53" s="781">
        <v>0</v>
      </c>
      <c r="C53" s="781">
        <v>0</v>
      </c>
      <c r="D53" s="781">
        <v>0</v>
      </c>
      <c r="E53" s="781">
        <v>0</v>
      </c>
      <c r="F53" s="781">
        <f t="shared" si="6"/>
        <v>0</v>
      </c>
      <c r="G53" s="776"/>
      <c r="H53" s="781"/>
      <c r="I53" s="781">
        <v>0</v>
      </c>
      <c r="J53" s="782">
        <v>0</v>
      </c>
      <c r="K53" s="781">
        <f t="shared" si="7"/>
        <v>0</v>
      </c>
      <c r="L53" s="776"/>
      <c r="M53" s="781">
        <f t="shared" ref="M53" si="9">+F53-K53</f>
        <v>0</v>
      </c>
      <c r="N53" s="781">
        <v>0</v>
      </c>
    </row>
    <row r="54" spans="1:14">
      <c r="A54" s="131"/>
      <c r="B54" s="776"/>
      <c r="C54" s="776"/>
      <c r="D54" s="776"/>
      <c r="E54" s="776"/>
      <c r="F54" s="776"/>
      <c r="G54" s="776"/>
      <c r="H54" s="776"/>
      <c r="I54" s="776"/>
      <c r="J54" s="783"/>
      <c r="K54" s="776"/>
      <c r="L54" s="776"/>
      <c r="M54" s="776"/>
      <c r="N54" s="784"/>
    </row>
    <row r="55" spans="1:14" ht="25.5">
      <c r="A55" s="43" t="s">
        <v>521</v>
      </c>
      <c r="B55" s="41">
        <f>SUM(B56:B58)</f>
        <v>35706000</v>
      </c>
      <c r="C55" s="41">
        <f>SUM(C56:C58)</f>
        <v>0</v>
      </c>
      <c r="D55" s="41">
        <f>SUM(D56:D58)</f>
        <v>0</v>
      </c>
      <c r="E55" s="41">
        <f>SUM(E56:E58)</f>
        <v>465000</v>
      </c>
      <c r="F55" s="41">
        <f>SUM(F56:F58)</f>
        <v>35241000</v>
      </c>
      <c r="G55" s="41"/>
      <c r="H55" s="41">
        <f>SUM(H56:H58)</f>
        <v>0</v>
      </c>
      <c r="I55" s="41">
        <f>SUM(I56:I58)</f>
        <v>0</v>
      </c>
      <c r="J55" s="41">
        <f>SUM(J56:J58)</f>
        <v>0</v>
      </c>
      <c r="K55" s="41">
        <f>SUM(K56:K58)</f>
        <v>0</v>
      </c>
      <c r="L55" s="41"/>
      <c r="M55" s="41">
        <f>SUM(M56:M58)</f>
        <v>35241000</v>
      </c>
      <c r="N55" s="42">
        <f>SUM(N56:N58)</f>
        <v>0</v>
      </c>
    </row>
    <row r="56" spans="1:14">
      <c r="A56" s="131" t="s">
        <v>639</v>
      </c>
      <c r="B56" s="775">
        <v>0</v>
      </c>
      <c r="C56" s="775">
        <v>0</v>
      </c>
      <c r="D56" s="775">
        <v>0</v>
      </c>
      <c r="E56" s="775">
        <v>0</v>
      </c>
      <c r="F56" s="775">
        <v>0</v>
      </c>
      <c r="G56" s="776"/>
      <c r="H56" s="775">
        <v>0</v>
      </c>
      <c r="I56" s="775">
        <v>0</v>
      </c>
      <c r="J56" s="777">
        <v>0</v>
      </c>
      <c r="K56" s="775">
        <v>0</v>
      </c>
      <c r="L56" s="776"/>
      <c r="M56" s="775">
        <f>+F56-K56</f>
        <v>0</v>
      </c>
      <c r="N56" s="775">
        <v>0</v>
      </c>
    </row>
    <row r="57" spans="1:14">
      <c r="A57" s="131" t="s">
        <v>660</v>
      </c>
      <c r="B57" s="778">
        <v>0</v>
      </c>
      <c r="C57" s="778">
        <v>0</v>
      </c>
      <c r="D57" s="778">
        <v>0</v>
      </c>
      <c r="E57" s="778">
        <v>0</v>
      </c>
      <c r="F57" s="778">
        <v>0</v>
      </c>
      <c r="G57" s="776"/>
      <c r="H57" s="778">
        <v>0</v>
      </c>
      <c r="I57" s="778">
        <v>0</v>
      </c>
      <c r="J57" s="779">
        <v>0</v>
      </c>
      <c r="K57" s="778">
        <v>0</v>
      </c>
      <c r="L57" s="776"/>
      <c r="M57" s="778">
        <f>+F57-K57</f>
        <v>0</v>
      </c>
      <c r="N57" s="778">
        <v>0</v>
      </c>
    </row>
    <row r="58" spans="1:14">
      <c r="A58" s="131" t="s">
        <v>1310</v>
      </c>
      <c r="B58" s="781">
        <v>35706000</v>
      </c>
      <c r="C58" s="781">
        <v>0</v>
      </c>
      <c r="D58" s="781">
        <v>0</v>
      </c>
      <c r="E58" s="781">
        <v>465000</v>
      </c>
      <c r="F58" s="781">
        <f>+B58+C58+D58-E58</f>
        <v>35241000</v>
      </c>
      <c r="G58" s="776"/>
      <c r="H58" s="781">
        <v>0</v>
      </c>
      <c r="I58" s="781">
        <v>0</v>
      </c>
      <c r="J58" s="782">
        <v>0</v>
      </c>
      <c r="K58" s="781">
        <f>+H58+I58-J58</f>
        <v>0</v>
      </c>
      <c r="L58" s="776"/>
      <c r="M58" s="781">
        <f>+F58-K58</f>
        <v>35241000</v>
      </c>
      <c r="N58" s="781">
        <v>0</v>
      </c>
    </row>
    <row r="59" spans="1:14">
      <c r="A59" s="131"/>
      <c r="B59" s="776" t="s">
        <v>36</v>
      </c>
      <c r="C59" s="776" t="s">
        <v>36</v>
      </c>
      <c r="D59" s="776"/>
      <c r="E59" s="776"/>
      <c r="F59" s="776" t="s">
        <v>36</v>
      </c>
      <c r="G59" s="776"/>
      <c r="H59" s="776"/>
      <c r="I59" s="776" t="s">
        <v>36</v>
      </c>
      <c r="J59" s="783"/>
      <c r="K59" s="776"/>
      <c r="L59" s="776"/>
      <c r="M59" s="776"/>
      <c r="N59" s="784"/>
    </row>
    <row r="60" spans="1:14">
      <c r="A60" s="43" t="s">
        <v>1184</v>
      </c>
      <c r="B60" s="41">
        <f>SUM(B61:B68)</f>
        <v>0</v>
      </c>
      <c r="C60" s="41">
        <f>SUM(C61:C68)</f>
        <v>0</v>
      </c>
      <c r="D60" s="41">
        <f>SUM(D61:D68)</f>
        <v>0</v>
      </c>
      <c r="E60" s="41">
        <f>SUM(E61:E68)</f>
        <v>0</v>
      </c>
      <c r="F60" s="41">
        <f>SUM(F61:F68)</f>
        <v>0</v>
      </c>
      <c r="G60" s="41"/>
      <c r="H60" s="41">
        <f>SUM(H61:H68)</f>
        <v>0</v>
      </c>
      <c r="I60" s="41">
        <f>SUM(I61:I68)</f>
        <v>0</v>
      </c>
      <c r="J60" s="41">
        <f>SUM(J61:J68)</f>
        <v>0</v>
      </c>
      <c r="K60" s="41">
        <f>SUM(K61:K68)</f>
        <v>0</v>
      </c>
      <c r="L60" s="41"/>
      <c r="M60" s="41">
        <f>SUM(M61:M68)</f>
        <v>0</v>
      </c>
      <c r="N60" s="42">
        <f>SUM(N61:N68)</f>
        <v>0</v>
      </c>
    </row>
    <row r="61" spans="1:14">
      <c r="A61" s="131" t="s">
        <v>1312</v>
      </c>
      <c r="B61" s="775">
        <v>0</v>
      </c>
      <c r="C61" s="775">
        <v>0</v>
      </c>
      <c r="D61" s="775">
        <v>0</v>
      </c>
      <c r="E61" s="775">
        <v>0</v>
      </c>
      <c r="F61" s="775">
        <f t="shared" ref="F61" si="10">+B61+C61+D61-E61</f>
        <v>0</v>
      </c>
      <c r="G61" s="776"/>
      <c r="H61" s="775">
        <v>0</v>
      </c>
      <c r="I61" s="775">
        <v>0</v>
      </c>
      <c r="J61" s="777">
        <v>0</v>
      </c>
      <c r="K61" s="775">
        <f t="shared" ref="K61" si="11">+H61+I61-J61</f>
        <v>0</v>
      </c>
      <c r="L61" s="776"/>
      <c r="M61" s="775">
        <f t="shared" ref="M61:M64" si="12">+F61-K61</f>
        <v>0</v>
      </c>
      <c r="N61" s="775">
        <v>0</v>
      </c>
    </row>
    <row r="62" spans="1:14">
      <c r="A62" s="131" t="s">
        <v>1185</v>
      </c>
      <c r="B62" s="778">
        <v>0</v>
      </c>
      <c r="C62" s="778">
        <v>0</v>
      </c>
      <c r="D62" s="778">
        <v>0</v>
      </c>
      <c r="E62" s="778">
        <v>0</v>
      </c>
      <c r="F62" s="778">
        <v>0</v>
      </c>
      <c r="G62" s="776"/>
      <c r="H62" s="778">
        <v>0</v>
      </c>
      <c r="I62" s="778">
        <v>0</v>
      </c>
      <c r="J62" s="779">
        <v>0</v>
      </c>
      <c r="K62" s="778">
        <f>+H62+I62-J62</f>
        <v>0</v>
      </c>
      <c r="L62" s="776"/>
      <c r="M62" s="778">
        <f t="shared" si="12"/>
        <v>0</v>
      </c>
      <c r="N62" s="778">
        <v>0</v>
      </c>
    </row>
    <row r="63" spans="1:14">
      <c r="A63" s="131" t="s">
        <v>1186</v>
      </c>
      <c r="B63" s="778">
        <v>0</v>
      </c>
      <c r="C63" s="778">
        <v>0</v>
      </c>
      <c r="D63" s="778">
        <v>0</v>
      </c>
      <c r="E63" s="778">
        <v>0</v>
      </c>
      <c r="F63" s="778">
        <f t="shared" ref="F63:F68" si="13">+B63+C63+D63-E63</f>
        <v>0</v>
      </c>
      <c r="G63" s="776"/>
      <c r="H63" s="778">
        <v>0</v>
      </c>
      <c r="I63" s="778">
        <v>0</v>
      </c>
      <c r="J63" s="779">
        <v>0</v>
      </c>
      <c r="K63" s="778">
        <f t="shared" ref="K63:K68" si="14">+H63+I63-J63</f>
        <v>0</v>
      </c>
      <c r="L63" s="776"/>
      <c r="M63" s="778">
        <f t="shared" si="12"/>
        <v>0</v>
      </c>
      <c r="N63" s="778">
        <v>0</v>
      </c>
    </row>
    <row r="64" spans="1:14">
      <c r="A64" s="131" t="s">
        <v>637</v>
      </c>
      <c r="B64" s="778">
        <v>0</v>
      </c>
      <c r="C64" s="778">
        <v>0</v>
      </c>
      <c r="D64" s="778">
        <v>0</v>
      </c>
      <c r="E64" s="778">
        <v>0</v>
      </c>
      <c r="F64" s="778">
        <f t="shared" si="13"/>
        <v>0</v>
      </c>
      <c r="G64" s="776"/>
      <c r="H64" s="778">
        <v>0</v>
      </c>
      <c r="I64" s="778">
        <v>0</v>
      </c>
      <c r="J64" s="779">
        <v>0</v>
      </c>
      <c r="K64" s="778">
        <f t="shared" si="14"/>
        <v>0</v>
      </c>
      <c r="L64" s="776"/>
      <c r="M64" s="778">
        <f t="shared" si="12"/>
        <v>0</v>
      </c>
      <c r="N64" s="778">
        <v>0</v>
      </c>
    </row>
    <row r="65" spans="1:14" ht="25.5">
      <c r="A65" s="131" t="s">
        <v>638</v>
      </c>
      <c r="B65" s="778">
        <v>0</v>
      </c>
      <c r="C65" s="778">
        <v>0</v>
      </c>
      <c r="D65" s="778">
        <v>0</v>
      </c>
      <c r="E65" s="778">
        <v>0</v>
      </c>
      <c r="F65" s="778">
        <f t="shared" si="13"/>
        <v>0</v>
      </c>
      <c r="G65" s="776"/>
      <c r="H65" s="778">
        <v>0</v>
      </c>
      <c r="I65" s="778">
        <v>0</v>
      </c>
      <c r="J65" s="779">
        <v>0</v>
      </c>
      <c r="K65" s="778">
        <f t="shared" si="14"/>
        <v>0</v>
      </c>
      <c r="L65" s="776"/>
      <c r="M65" s="778">
        <f>+F65-K65</f>
        <v>0</v>
      </c>
      <c r="N65" s="778">
        <v>0</v>
      </c>
    </row>
    <row r="66" spans="1:14">
      <c r="A66" s="131" t="s">
        <v>661</v>
      </c>
      <c r="B66" s="778">
        <v>0</v>
      </c>
      <c r="C66" s="778">
        <v>0</v>
      </c>
      <c r="D66" s="778">
        <v>0</v>
      </c>
      <c r="E66" s="778">
        <v>0</v>
      </c>
      <c r="F66" s="778">
        <f t="shared" si="13"/>
        <v>0</v>
      </c>
      <c r="G66" s="776"/>
      <c r="H66" s="778">
        <v>0</v>
      </c>
      <c r="I66" s="778">
        <v>0</v>
      </c>
      <c r="J66" s="779">
        <v>0</v>
      </c>
      <c r="K66" s="778">
        <f t="shared" si="14"/>
        <v>0</v>
      </c>
      <c r="L66" s="776"/>
      <c r="M66" s="778">
        <f t="shared" ref="M66:M68" si="15">+F66-K66</f>
        <v>0</v>
      </c>
      <c r="N66" s="778">
        <v>0</v>
      </c>
    </row>
    <row r="67" spans="1:14" ht="25.5">
      <c r="A67" s="131" t="s">
        <v>640</v>
      </c>
      <c r="B67" s="778">
        <v>0</v>
      </c>
      <c r="C67" s="778">
        <v>0</v>
      </c>
      <c r="D67" s="778">
        <v>0</v>
      </c>
      <c r="E67" s="778">
        <v>0</v>
      </c>
      <c r="F67" s="778">
        <f t="shared" si="13"/>
        <v>0</v>
      </c>
      <c r="G67" s="776"/>
      <c r="H67" s="778">
        <v>0</v>
      </c>
      <c r="I67" s="778">
        <v>0</v>
      </c>
      <c r="J67" s="779">
        <v>0</v>
      </c>
      <c r="K67" s="778">
        <f t="shared" si="14"/>
        <v>0</v>
      </c>
      <c r="L67" s="776"/>
      <c r="M67" s="778">
        <f t="shared" si="15"/>
        <v>0</v>
      </c>
      <c r="N67" s="778">
        <v>0</v>
      </c>
    </row>
    <row r="68" spans="1:14">
      <c r="A68" s="131" t="s">
        <v>641</v>
      </c>
      <c r="B68" s="781">
        <v>0</v>
      </c>
      <c r="C68" s="781">
        <v>0</v>
      </c>
      <c r="D68" s="781">
        <v>0</v>
      </c>
      <c r="E68" s="781">
        <v>0</v>
      </c>
      <c r="F68" s="781">
        <f t="shared" si="13"/>
        <v>0</v>
      </c>
      <c r="G68" s="776"/>
      <c r="H68" s="781">
        <v>0</v>
      </c>
      <c r="I68" s="781">
        <v>0</v>
      </c>
      <c r="J68" s="782">
        <v>0</v>
      </c>
      <c r="K68" s="781">
        <f t="shared" si="14"/>
        <v>0</v>
      </c>
      <c r="L68" s="776"/>
      <c r="M68" s="781">
        <f t="shared" si="15"/>
        <v>0</v>
      </c>
      <c r="N68" s="781">
        <v>0</v>
      </c>
    </row>
    <row r="69" spans="1:14">
      <c r="A69" s="131"/>
      <c r="B69" s="776"/>
      <c r="C69" s="776"/>
      <c r="D69" s="776"/>
      <c r="E69" s="776"/>
      <c r="F69" s="776"/>
      <c r="G69" s="776"/>
      <c r="H69" s="776"/>
      <c r="I69" s="776"/>
      <c r="J69" s="783"/>
      <c r="K69" s="776"/>
      <c r="L69" s="776"/>
      <c r="M69" s="776"/>
      <c r="N69" s="784"/>
    </row>
    <row r="70" spans="1:14">
      <c r="A70" s="43" t="s">
        <v>1188</v>
      </c>
      <c r="B70" s="41">
        <f>B60+B55+B42</f>
        <v>35706000</v>
      </c>
      <c r="C70" s="41">
        <f>C60+C55+C42</f>
        <v>0</v>
      </c>
      <c r="D70" s="41">
        <f>D60+D55+D42</f>
        <v>0</v>
      </c>
      <c r="E70" s="41">
        <f>E60+E55+E42</f>
        <v>465000</v>
      </c>
      <c r="F70" s="1622">
        <f>F60+F55+F42</f>
        <v>35241000</v>
      </c>
      <c r="G70" s="41"/>
      <c r="H70" s="41">
        <f>H60+H55+H42</f>
        <v>0</v>
      </c>
      <c r="I70" s="41">
        <f>I60+I55+I42</f>
        <v>0</v>
      </c>
      <c r="J70" s="41">
        <f>J60+J55+J42</f>
        <v>0</v>
      </c>
      <c r="K70" s="41">
        <f>K60+K55+K42</f>
        <v>0</v>
      </c>
      <c r="L70" s="41"/>
      <c r="M70" s="41">
        <f>M60+M55+M42</f>
        <v>35241000</v>
      </c>
      <c r="N70" s="42">
        <f>N60+N55+N42</f>
        <v>0</v>
      </c>
    </row>
    <row r="71" spans="1:14">
      <c r="A71" s="48"/>
      <c r="B71" s="303"/>
      <c r="C71" s="303"/>
      <c r="D71" s="303"/>
      <c r="E71" s="303"/>
      <c r="F71" s="303"/>
      <c r="G71" s="303"/>
      <c r="H71" s="303"/>
      <c r="I71" s="1758"/>
      <c r="J71" s="1758"/>
      <c r="K71" s="303"/>
      <c r="L71" s="303"/>
      <c r="M71" s="303"/>
      <c r="N71" s="46"/>
    </row>
    <row r="72" spans="1:14">
      <c r="A72" s="126"/>
      <c r="B72" s="680"/>
    </row>
    <row r="73" spans="1:14">
      <c r="A73" s="126"/>
      <c r="B73" s="680"/>
    </row>
    <row r="74" spans="1:14">
      <c r="A74" s="126"/>
      <c r="B74" s="680"/>
    </row>
    <row r="75" spans="1:14">
      <c r="A75" s="126"/>
      <c r="B75" s="680"/>
    </row>
    <row r="76" spans="1:14">
      <c r="A76" s="126"/>
      <c r="B76" s="680"/>
    </row>
    <row r="77" spans="1:14">
      <c r="A77" s="126"/>
      <c r="B77" s="680"/>
    </row>
    <row r="78" spans="1:14">
      <c r="A78" s="126"/>
      <c r="B78" s="680"/>
    </row>
    <row r="79" spans="1:14">
      <c r="A79" s="126"/>
      <c r="B79" s="680"/>
    </row>
    <row r="80" spans="1:14">
      <c r="A80" s="126"/>
      <c r="B80" s="680"/>
    </row>
    <row r="81" spans="1:2">
      <c r="A81" s="126"/>
      <c r="B81" s="680"/>
    </row>
    <row r="82" spans="1:2">
      <c r="A82" s="126"/>
      <c r="B82" s="680"/>
    </row>
    <row r="83" spans="1:2">
      <c r="A83" s="126"/>
      <c r="B83" s="680"/>
    </row>
    <row r="84" spans="1:2">
      <c r="A84" s="126"/>
      <c r="B84" s="680"/>
    </row>
    <row r="85" spans="1:2">
      <c r="A85" s="126"/>
      <c r="B85" s="680"/>
    </row>
    <row r="86" spans="1:2">
      <c r="A86" s="126"/>
      <c r="B86" s="680"/>
    </row>
    <row r="87" spans="1:2">
      <c r="A87" s="126"/>
      <c r="B87" s="680"/>
    </row>
    <row r="88" spans="1:2">
      <c r="A88" s="126"/>
      <c r="B88" s="680"/>
    </row>
    <row r="89" spans="1:2">
      <c r="A89" s="126"/>
      <c r="B89" s="680"/>
    </row>
    <row r="90" spans="1:2">
      <c r="A90" s="126"/>
      <c r="B90" s="680"/>
    </row>
    <row r="91" spans="1:2">
      <c r="A91" s="126"/>
      <c r="B91" s="680"/>
    </row>
    <row r="92" spans="1:2">
      <c r="A92" s="126"/>
      <c r="B92" s="680"/>
    </row>
    <row r="93" spans="1:2">
      <c r="A93" s="126"/>
      <c r="B93" s="680"/>
    </row>
    <row r="94" spans="1:2">
      <c r="A94" s="126"/>
      <c r="B94" s="680"/>
    </row>
    <row r="95" spans="1:2">
      <c r="A95" s="126"/>
      <c r="B95" s="680"/>
    </row>
    <row r="96" spans="1:2">
      <c r="A96" s="126"/>
      <c r="B96" s="680"/>
    </row>
    <row r="97" spans="1:2">
      <c r="A97" s="126"/>
      <c r="B97" s="680"/>
    </row>
    <row r="98" spans="1:2">
      <c r="A98" s="126"/>
      <c r="B98" s="680"/>
    </row>
    <row r="99" spans="1:2">
      <c r="A99" s="126"/>
      <c r="B99" s="680"/>
    </row>
    <row r="100" spans="1:2">
      <c r="A100" s="126"/>
      <c r="B100" s="680"/>
    </row>
    <row r="101" spans="1:2">
      <c r="A101" s="126"/>
      <c r="B101" s="680"/>
    </row>
    <row r="102" spans="1:2">
      <c r="A102" s="126"/>
      <c r="B102" s="680"/>
    </row>
    <row r="103" spans="1:2">
      <c r="A103" s="126"/>
      <c r="B103" s="680"/>
    </row>
    <row r="104" spans="1:2">
      <c r="A104" s="126"/>
      <c r="B104" s="680"/>
    </row>
    <row r="105" spans="1:2">
      <c r="A105" s="126"/>
      <c r="B105" s="680"/>
    </row>
    <row r="106" spans="1:2">
      <c r="A106" s="126"/>
      <c r="B106" s="680"/>
    </row>
    <row r="107" spans="1:2">
      <c r="A107" s="126"/>
      <c r="B107" s="680"/>
    </row>
    <row r="108" spans="1:2">
      <c r="A108" s="126"/>
      <c r="B108" s="680"/>
    </row>
    <row r="109" spans="1:2">
      <c r="A109" s="126"/>
      <c r="B109" s="680"/>
    </row>
    <row r="110" spans="1:2">
      <c r="A110" s="126"/>
      <c r="B110" s="680"/>
    </row>
    <row r="111" spans="1:2">
      <c r="A111" s="126"/>
      <c r="B111" s="680"/>
    </row>
    <row r="112" spans="1:2">
      <c r="A112" s="126"/>
      <c r="B112" s="680"/>
    </row>
    <row r="113" spans="1:2">
      <c r="A113" s="126"/>
      <c r="B113" s="680"/>
    </row>
    <row r="114" spans="1:2">
      <c r="A114" s="126"/>
      <c r="B114" s="680"/>
    </row>
    <row r="115" spans="1:2">
      <c r="A115" s="126"/>
      <c r="B115" s="680"/>
    </row>
    <row r="116" spans="1:2">
      <c r="A116" s="126"/>
      <c r="B116" s="680"/>
    </row>
    <row r="117" spans="1:2">
      <c r="A117" s="126"/>
      <c r="B117" s="680"/>
    </row>
    <row r="118" spans="1:2">
      <c r="A118" s="126"/>
      <c r="B118" s="680"/>
    </row>
    <row r="119" spans="1:2">
      <c r="A119" s="126"/>
      <c r="B119" s="680"/>
    </row>
    <row r="120" spans="1:2">
      <c r="A120" s="126"/>
      <c r="B120" s="680"/>
    </row>
    <row r="121" spans="1:2">
      <c r="A121" s="126"/>
      <c r="B121" s="680"/>
    </row>
    <row r="122" spans="1:2">
      <c r="A122" s="126"/>
      <c r="B122" s="680"/>
    </row>
    <row r="123" spans="1:2">
      <c r="A123" s="126"/>
      <c r="B123" s="680"/>
    </row>
    <row r="124" spans="1:2">
      <c r="A124" s="126"/>
      <c r="B124" s="680"/>
    </row>
    <row r="125" spans="1:2">
      <c r="A125" s="126"/>
      <c r="B125" s="680"/>
    </row>
    <row r="126" spans="1:2">
      <c r="A126" s="126"/>
      <c r="B126" s="680"/>
    </row>
    <row r="127" spans="1:2">
      <c r="A127" s="126"/>
      <c r="B127" s="680"/>
    </row>
    <row r="128" spans="1:2">
      <c r="A128" s="126"/>
      <c r="B128" s="680"/>
    </row>
    <row r="129" spans="1:2">
      <c r="A129" s="126"/>
      <c r="B129" s="680"/>
    </row>
    <row r="130" spans="1:2">
      <c r="A130" s="126"/>
      <c r="B130" s="680"/>
    </row>
    <row r="131" spans="1:2">
      <c r="A131" s="126"/>
      <c r="B131" s="680"/>
    </row>
    <row r="132" spans="1:2">
      <c r="A132" s="126"/>
      <c r="B132" s="680"/>
    </row>
    <row r="133" spans="1:2">
      <c r="A133" s="126"/>
      <c r="B133" s="680"/>
    </row>
    <row r="134" spans="1:2">
      <c r="A134" s="126"/>
      <c r="B134" s="680"/>
    </row>
    <row r="135" spans="1:2">
      <c r="A135" s="126"/>
      <c r="B135" s="680"/>
    </row>
    <row r="136" spans="1:2">
      <c r="A136" s="126"/>
      <c r="B136" s="680"/>
    </row>
    <row r="137" spans="1:2">
      <c r="A137" s="126"/>
      <c r="B137" s="680"/>
    </row>
    <row r="138" spans="1:2">
      <c r="A138" s="126"/>
      <c r="B138" s="680"/>
    </row>
    <row r="139" spans="1:2">
      <c r="A139" s="126"/>
      <c r="B139" s="680"/>
    </row>
    <row r="140" spans="1:2">
      <c r="A140" s="126"/>
      <c r="B140" s="680"/>
    </row>
    <row r="141" spans="1:2">
      <c r="A141" s="126"/>
      <c r="B141" s="680"/>
    </row>
    <row r="142" spans="1:2">
      <c r="A142" s="126"/>
      <c r="B142" s="680"/>
    </row>
    <row r="143" spans="1:2">
      <c r="A143" s="126"/>
      <c r="B143" s="680"/>
    </row>
    <row r="144" spans="1:2">
      <c r="A144" s="126"/>
      <c r="B144" s="680"/>
    </row>
    <row r="145" spans="1:2">
      <c r="A145" s="126"/>
      <c r="B145" s="680"/>
    </row>
    <row r="146" spans="1:2">
      <c r="A146" s="126"/>
      <c r="B146" s="680"/>
    </row>
    <row r="147" spans="1:2">
      <c r="A147" s="126"/>
      <c r="B147" s="680"/>
    </row>
    <row r="148" spans="1:2">
      <c r="A148" s="126"/>
      <c r="B148" s="680"/>
    </row>
    <row r="149" spans="1:2">
      <c r="A149" s="126"/>
      <c r="B149" s="680"/>
    </row>
    <row r="150" spans="1:2">
      <c r="A150" s="126"/>
      <c r="B150" s="680"/>
    </row>
    <row r="151" spans="1:2">
      <c r="A151" s="126"/>
      <c r="B151" s="680"/>
    </row>
    <row r="152" spans="1:2">
      <c r="A152" s="126"/>
      <c r="B152" s="680"/>
    </row>
    <row r="153" spans="1:2">
      <c r="A153" s="126"/>
      <c r="B153" s="680"/>
    </row>
    <row r="154" spans="1:2">
      <c r="A154" s="126"/>
      <c r="B154" s="680"/>
    </row>
    <row r="155" spans="1:2">
      <c r="A155" s="126"/>
      <c r="B155" s="680"/>
    </row>
    <row r="156" spans="1:2">
      <c r="A156" s="126"/>
      <c r="B156" s="680"/>
    </row>
    <row r="157" spans="1:2">
      <c r="A157" s="126"/>
      <c r="B157" s="680"/>
    </row>
    <row r="158" spans="1:2">
      <c r="A158" s="126"/>
      <c r="B158" s="680"/>
    </row>
    <row r="159" spans="1:2">
      <c r="A159" s="126"/>
      <c r="B159" s="680"/>
    </row>
    <row r="160" spans="1:2">
      <c r="A160" s="126"/>
      <c r="B160" s="680"/>
    </row>
    <row r="161" spans="1:2">
      <c r="A161" s="126"/>
      <c r="B161" s="680"/>
    </row>
    <row r="162" spans="1:2">
      <c r="A162" s="126"/>
      <c r="B162" s="680"/>
    </row>
    <row r="163" spans="1:2">
      <c r="A163" s="126"/>
      <c r="B163" s="680"/>
    </row>
    <row r="164" spans="1:2">
      <c r="A164" s="126"/>
      <c r="B164" s="680"/>
    </row>
    <row r="165" spans="1:2">
      <c r="A165" s="126"/>
      <c r="B165" s="680"/>
    </row>
    <row r="166" spans="1:2">
      <c r="A166" s="126"/>
      <c r="B166" s="680"/>
    </row>
    <row r="167" spans="1:2">
      <c r="A167" s="126"/>
      <c r="B167" s="680"/>
    </row>
    <row r="168" spans="1:2">
      <c r="A168" s="126"/>
      <c r="B168" s="680"/>
    </row>
    <row r="169" spans="1:2">
      <c r="A169" s="126"/>
      <c r="B169" s="680"/>
    </row>
    <row r="170" spans="1:2">
      <c r="A170" s="126"/>
      <c r="B170" s="680"/>
    </row>
    <row r="171" spans="1:2">
      <c r="A171" s="126"/>
      <c r="B171" s="680"/>
    </row>
    <row r="172" spans="1:2">
      <c r="A172" s="126"/>
      <c r="B172" s="680"/>
    </row>
    <row r="173" spans="1:2">
      <c r="A173" s="126"/>
      <c r="B173" s="680"/>
    </row>
    <row r="174" spans="1:2">
      <c r="A174" s="126"/>
      <c r="B174" s="680"/>
    </row>
    <row r="175" spans="1:2">
      <c r="A175" s="126"/>
      <c r="B175" s="680"/>
    </row>
    <row r="176" spans="1:2">
      <c r="A176" s="126"/>
      <c r="B176" s="680"/>
    </row>
    <row r="177" spans="1:2">
      <c r="A177" s="126"/>
      <c r="B177" s="680"/>
    </row>
    <row r="178" spans="1:2">
      <c r="A178" s="126"/>
      <c r="B178" s="680"/>
    </row>
    <row r="179" spans="1:2">
      <c r="A179" s="126"/>
      <c r="B179" s="680"/>
    </row>
    <row r="180" spans="1:2">
      <c r="A180" s="126"/>
      <c r="B180" s="680"/>
    </row>
    <row r="181" spans="1:2">
      <c r="A181" s="126"/>
      <c r="B181" s="680"/>
    </row>
    <row r="182" spans="1:2">
      <c r="A182" s="126"/>
      <c r="B182" s="680"/>
    </row>
    <row r="183" spans="1:2">
      <c r="A183" s="126"/>
      <c r="B183" s="680"/>
    </row>
    <row r="184" spans="1:2">
      <c r="A184" s="126"/>
      <c r="B184" s="680"/>
    </row>
    <row r="185" spans="1:2">
      <c r="A185" s="126"/>
      <c r="B185" s="680"/>
    </row>
    <row r="186" spans="1:2">
      <c r="A186" s="126"/>
      <c r="B186" s="680"/>
    </row>
    <row r="187" spans="1:2">
      <c r="A187" s="126"/>
      <c r="B187" s="680"/>
    </row>
    <row r="188" spans="1:2">
      <c r="A188" s="126"/>
      <c r="B188" s="680"/>
    </row>
    <row r="189" spans="1:2">
      <c r="A189" s="126"/>
      <c r="B189" s="680"/>
    </row>
    <row r="190" spans="1:2">
      <c r="A190" s="126"/>
      <c r="B190" s="680"/>
    </row>
    <row r="191" spans="1:2">
      <c r="A191" s="126"/>
      <c r="B191" s="680"/>
    </row>
    <row r="192" spans="1:2">
      <c r="A192" s="126"/>
      <c r="B192" s="680"/>
    </row>
    <row r="193" spans="1:2">
      <c r="A193" s="126"/>
      <c r="B193" s="680"/>
    </row>
    <row r="194" spans="1:2">
      <c r="A194" s="126"/>
      <c r="B194" s="680"/>
    </row>
    <row r="195" spans="1:2">
      <c r="A195" s="126"/>
      <c r="B195" s="680"/>
    </row>
    <row r="196" spans="1:2">
      <c r="A196" s="126"/>
      <c r="B196" s="680"/>
    </row>
    <row r="197" spans="1:2">
      <c r="A197" s="126"/>
      <c r="B197" s="680"/>
    </row>
    <row r="198" spans="1:2">
      <c r="A198" s="126"/>
      <c r="B198" s="680"/>
    </row>
    <row r="199" spans="1:2">
      <c r="A199" s="126"/>
      <c r="B199" s="680"/>
    </row>
    <row r="200" spans="1:2">
      <c r="A200" s="126"/>
      <c r="B200" s="680"/>
    </row>
    <row r="201" spans="1:2">
      <c r="A201" s="126"/>
      <c r="B201" s="680"/>
    </row>
    <row r="202" spans="1:2">
      <c r="A202" s="126"/>
      <c r="B202" s="680"/>
    </row>
    <row r="203" spans="1:2">
      <c r="A203" s="126"/>
      <c r="B203" s="680"/>
    </row>
    <row r="204" spans="1:2">
      <c r="A204" s="126"/>
      <c r="B204" s="680"/>
    </row>
    <row r="205" spans="1:2">
      <c r="A205" s="126"/>
      <c r="B205" s="680"/>
    </row>
    <row r="206" spans="1:2">
      <c r="A206" s="126"/>
      <c r="B206" s="680"/>
    </row>
    <row r="207" spans="1:2">
      <c r="A207" s="126"/>
      <c r="B207" s="680"/>
    </row>
    <row r="208" spans="1:2">
      <c r="A208" s="126"/>
      <c r="B208" s="680"/>
    </row>
    <row r="209" spans="1:2">
      <c r="A209" s="126"/>
      <c r="B209" s="680"/>
    </row>
    <row r="210" spans="1:2">
      <c r="A210" s="126"/>
      <c r="B210" s="680"/>
    </row>
    <row r="211" spans="1:2">
      <c r="A211" s="126"/>
      <c r="B211" s="680"/>
    </row>
    <row r="212" spans="1:2">
      <c r="A212" s="126"/>
      <c r="B212" s="680"/>
    </row>
    <row r="213" spans="1:2">
      <c r="A213" s="126"/>
      <c r="B213" s="680"/>
    </row>
    <row r="214" spans="1:2">
      <c r="A214" s="126"/>
      <c r="B214" s="680"/>
    </row>
    <row r="215" spans="1:2">
      <c r="A215" s="126"/>
      <c r="B215" s="680"/>
    </row>
    <row r="216" spans="1:2">
      <c r="A216" s="126"/>
      <c r="B216" s="680"/>
    </row>
    <row r="217" spans="1:2">
      <c r="A217" s="126"/>
      <c r="B217" s="680"/>
    </row>
    <row r="218" spans="1:2">
      <c r="A218" s="126"/>
      <c r="B218" s="680"/>
    </row>
    <row r="219" spans="1:2">
      <c r="A219" s="126"/>
      <c r="B219" s="680"/>
    </row>
    <row r="220" spans="1:2">
      <c r="A220" s="126"/>
      <c r="B220" s="680"/>
    </row>
    <row r="221" spans="1:2">
      <c r="A221" s="126"/>
      <c r="B221" s="680"/>
    </row>
    <row r="222" spans="1:2">
      <c r="A222" s="126"/>
      <c r="B222" s="680"/>
    </row>
    <row r="223" spans="1:2">
      <c r="A223" s="126"/>
      <c r="B223" s="680"/>
    </row>
    <row r="224" spans="1:2">
      <c r="A224" s="126"/>
      <c r="B224" s="680"/>
    </row>
    <row r="225" spans="1:2">
      <c r="A225" s="126"/>
      <c r="B225" s="680"/>
    </row>
    <row r="226" spans="1:2">
      <c r="A226" s="126"/>
      <c r="B226" s="680"/>
    </row>
    <row r="227" spans="1:2">
      <c r="A227" s="126"/>
      <c r="B227" s="680"/>
    </row>
    <row r="228" spans="1:2">
      <c r="A228" s="126"/>
      <c r="B228" s="680"/>
    </row>
    <row r="229" spans="1:2">
      <c r="A229" s="126"/>
      <c r="B229" s="680"/>
    </row>
    <row r="230" spans="1:2">
      <c r="A230" s="126"/>
      <c r="B230" s="680"/>
    </row>
    <row r="231" spans="1:2">
      <c r="A231" s="126"/>
      <c r="B231" s="680"/>
    </row>
    <row r="232" spans="1:2">
      <c r="A232" s="126"/>
      <c r="B232" s="680"/>
    </row>
    <row r="233" spans="1:2">
      <c r="A233" s="126"/>
      <c r="B233" s="680"/>
    </row>
    <row r="234" spans="1:2">
      <c r="A234" s="126"/>
      <c r="B234" s="680"/>
    </row>
    <row r="235" spans="1:2">
      <c r="A235" s="126"/>
      <c r="B235" s="680"/>
    </row>
    <row r="236" spans="1:2">
      <c r="A236" s="126"/>
      <c r="B236" s="680"/>
    </row>
    <row r="237" spans="1:2">
      <c r="A237" s="126"/>
      <c r="B237" s="680"/>
    </row>
    <row r="238" spans="1:2">
      <c r="A238" s="126"/>
      <c r="B238" s="680"/>
    </row>
    <row r="239" spans="1:2">
      <c r="A239" s="126"/>
      <c r="B239" s="680"/>
    </row>
    <row r="240" spans="1:2">
      <c r="A240" s="126"/>
      <c r="B240" s="680"/>
    </row>
    <row r="241" spans="1:2">
      <c r="A241" s="126"/>
      <c r="B241" s="680"/>
    </row>
    <row r="242" spans="1:2">
      <c r="A242" s="126"/>
      <c r="B242" s="680"/>
    </row>
    <row r="243" spans="1:2">
      <c r="A243" s="126"/>
      <c r="B243" s="680"/>
    </row>
    <row r="244" spans="1:2">
      <c r="A244" s="126"/>
      <c r="B244" s="680"/>
    </row>
    <row r="245" spans="1:2">
      <c r="A245" s="126"/>
      <c r="B245" s="680"/>
    </row>
    <row r="246" spans="1:2">
      <c r="A246" s="126"/>
      <c r="B246" s="680"/>
    </row>
    <row r="247" spans="1:2">
      <c r="A247" s="126"/>
      <c r="B247" s="680"/>
    </row>
    <row r="248" spans="1:2">
      <c r="A248" s="126"/>
      <c r="B248" s="680"/>
    </row>
    <row r="249" spans="1:2">
      <c r="A249" s="126"/>
      <c r="B249" s="680"/>
    </row>
    <row r="250" spans="1:2">
      <c r="A250" s="126"/>
      <c r="B250" s="680"/>
    </row>
    <row r="251" spans="1:2">
      <c r="A251" s="126"/>
      <c r="B251" s="680"/>
    </row>
    <row r="252" spans="1:2">
      <c r="A252" s="126"/>
      <c r="B252" s="680"/>
    </row>
    <row r="253" spans="1:2">
      <c r="A253" s="126"/>
      <c r="B253" s="680"/>
    </row>
    <row r="254" spans="1:2">
      <c r="A254" s="126"/>
      <c r="B254" s="680"/>
    </row>
    <row r="255" spans="1:2">
      <c r="A255" s="126"/>
      <c r="B255" s="680"/>
    </row>
    <row r="256" spans="1:2">
      <c r="A256" s="126"/>
      <c r="B256" s="680"/>
    </row>
    <row r="257" spans="1:2">
      <c r="A257" s="126"/>
      <c r="B257" s="680"/>
    </row>
    <row r="258" spans="1:2">
      <c r="A258" s="126"/>
      <c r="B258" s="680"/>
    </row>
    <row r="259" spans="1:2">
      <c r="A259" s="126"/>
      <c r="B259" s="680"/>
    </row>
    <row r="260" spans="1:2">
      <c r="A260" s="126"/>
      <c r="B260" s="680"/>
    </row>
    <row r="261" spans="1:2">
      <c r="A261" s="126"/>
      <c r="B261" s="680"/>
    </row>
    <row r="262" spans="1:2">
      <c r="A262" s="126"/>
      <c r="B262" s="680"/>
    </row>
    <row r="263" spans="1:2">
      <c r="A263" s="126"/>
      <c r="B263" s="680"/>
    </row>
    <row r="264" spans="1:2">
      <c r="A264" s="126"/>
      <c r="B264" s="680"/>
    </row>
    <row r="265" spans="1:2">
      <c r="A265" s="126"/>
      <c r="B265" s="680"/>
    </row>
    <row r="266" spans="1:2">
      <c r="A266" s="126"/>
      <c r="B266" s="680"/>
    </row>
    <row r="267" spans="1:2">
      <c r="A267" s="126"/>
      <c r="B267" s="680"/>
    </row>
    <row r="268" spans="1:2">
      <c r="A268" s="126"/>
      <c r="B268" s="680"/>
    </row>
    <row r="269" spans="1:2">
      <c r="A269" s="126"/>
      <c r="B269" s="680"/>
    </row>
    <row r="270" spans="1:2">
      <c r="A270" s="126"/>
      <c r="B270" s="680"/>
    </row>
    <row r="271" spans="1:2">
      <c r="A271" s="126"/>
      <c r="B271" s="680"/>
    </row>
    <row r="272" spans="1:2">
      <c r="A272" s="126"/>
      <c r="B272" s="680"/>
    </row>
    <row r="273" spans="1:2">
      <c r="A273" s="126"/>
      <c r="B273" s="680"/>
    </row>
    <row r="274" spans="1:2">
      <c r="A274" s="126"/>
      <c r="B274" s="680"/>
    </row>
    <row r="275" spans="1:2">
      <c r="A275" s="126"/>
      <c r="B275" s="680"/>
    </row>
    <row r="276" spans="1:2">
      <c r="A276" s="126"/>
      <c r="B276" s="680"/>
    </row>
    <row r="277" spans="1:2">
      <c r="A277" s="126"/>
      <c r="B277" s="680"/>
    </row>
    <row r="278" spans="1:2">
      <c r="A278" s="126"/>
      <c r="B278" s="680"/>
    </row>
    <row r="279" spans="1:2">
      <c r="A279" s="126"/>
      <c r="B279" s="680"/>
    </row>
    <row r="280" spans="1:2">
      <c r="A280" s="126"/>
      <c r="B280" s="680"/>
    </row>
    <row r="281" spans="1:2">
      <c r="A281" s="126"/>
      <c r="B281" s="680"/>
    </row>
    <row r="282" spans="1:2">
      <c r="A282" s="126"/>
      <c r="B282" s="680"/>
    </row>
    <row r="283" spans="1:2">
      <c r="A283" s="126"/>
      <c r="B283" s="680"/>
    </row>
    <row r="284" spans="1:2">
      <c r="A284" s="126"/>
      <c r="B284" s="680"/>
    </row>
    <row r="285" spans="1:2">
      <c r="A285" s="126"/>
      <c r="B285" s="680"/>
    </row>
    <row r="286" spans="1:2">
      <c r="A286" s="126"/>
      <c r="B286" s="680"/>
    </row>
    <row r="287" spans="1:2">
      <c r="A287" s="126"/>
      <c r="B287" s="680"/>
    </row>
    <row r="288" spans="1:2">
      <c r="A288" s="126"/>
      <c r="B288" s="680"/>
    </row>
    <row r="289" spans="1:2">
      <c r="A289" s="126"/>
      <c r="B289" s="680"/>
    </row>
    <row r="290" spans="1:2">
      <c r="A290" s="126"/>
      <c r="B290" s="680"/>
    </row>
    <row r="291" spans="1:2">
      <c r="A291" s="126"/>
      <c r="B291" s="680"/>
    </row>
    <row r="292" spans="1:2">
      <c r="A292" s="126"/>
      <c r="B292" s="680"/>
    </row>
    <row r="293" spans="1:2">
      <c r="A293" s="126"/>
      <c r="B293" s="680"/>
    </row>
    <row r="294" spans="1:2">
      <c r="A294" s="126"/>
      <c r="B294" s="680"/>
    </row>
    <row r="295" spans="1:2">
      <c r="A295" s="126"/>
      <c r="B295" s="680"/>
    </row>
    <row r="296" spans="1:2">
      <c r="A296" s="126"/>
      <c r="B296" s="680"/>
    </row>
    <row r="297" spans="1:2">
      <c r="A297" s="126"/>
      <c r="B297" s="680"/>
    </row>
    <row r="298" spans="1:2">
      <c r="A298" s="126"/>
      <c r="B298" s="680"/>
    </row>
    <row r="299" spans="1:2">
      <c r="A299" s="126"/>
      <c r="B299" s="680"/>
    </row>
    <row r="300" spans="1:2">
      <c r="A300" s="126"/>
      <c r="B300" s="680"/>
    </row>
    <row r="301" spans="1:2">
      <c r="A301" s="126"/>
      <c r="B301" s="680"/>
    </row>
    <row r="302" spans="1:2">
      <c r="A302" s="126"/>
      <c r="B302" s="680"/>
    </row>
    <row r="303" spans="1:2">
      <c r="A303" s="126"/>
      <c r="B303" s="680"/>
    </row>
    <row r="304" spans="1:2">
      <c r="A304" s="126"/>
      <c r="B304" s="680"/>
    </row>
    <row r="305" spans="1:2">
      <c r="A305" s="126"/>
      <c r="B305" s="680"/>
    </row>
    <row r="306" spans="1:2">
      <c r="A306" s="126"/>
      <c r="B306" s="680"/>
    </row>
    <row r="307" spans="1:2">
      <c r="A307" s="126"/>
      <c r="B307" s="680"/>
    </row>
    <row r="308" spans="1:2">
      <c r="A308" s="126"/>
      <c r="B308" s="680"/>
    </row>
    <row r="309" spans="1:2">
      <c r="A309" s="126"/>
      <c r="B309" s="680"/>
    </row>
    <row r="310" spans="1:2">
      <c r="A310" s="126"/>
      <c r="B310" s="680"/>
    </row>
    <row r="311" spans="1:2">
      <c r="A311" s="126"/>
      <c r="B311" s="680"/>
    </row>
    <row r="312" spans="1:2">
      <c r="A312" s="126"/>
      <c r="B312" s="680"/>
    </row>
    <row r="313" spans="1:2">
      <c r="A313" s="126"/>
      <c r="B313" s="680"/>
    </row>
    <row r="314" spans="1:2">
      <c r="A314" s="126"/>
      <c r="B314" s="680"/>
    </row>
    <row r="315" spans="1:2">
      <c r="A315" s="126"/>
      <c r="B315" s="680"/>
    </row>
    <row r="316" spans="1:2">
      <c r="A316" s="126"/>
      <c r="B316" s="680"/>
    </row>
    <row r="317" spans="1:2">
      <c r="A317" s="126"/>
      <c r="B317" s="680"/>
    </row>
    <row r="318" spans="1:2">
      <c r="A318" s="126"/>
      <c r="B318" s="680"/>
    </row>
    <row r="319" spans="1:2">
      <c r="A319" s="126"/>
      <c r="B319" s="680"/>
    </row>
    <row r="320" spans="1:2">
      <c r="A320" s="126"/>
      <c r="B320" s="680"/>
    </row>
    <row r="321" spans="1:2">
      <c r="A321" s="126"/>
      <c r="B321" s="680"/>
    </row>
    <row r="322" spans="1:2">
      <c r="A322" s="126"/>
      <c r="B322" s="680"/>
    </row>
    <row r="323" spans="1:2">
      <c r="A323" s="126"/>
      <c r="B323" s="680"/>
    </row>
    <row r="324" spans="1:2">
      <c r="A324" s="126"/>
      <c r="B324" s="680"/>
    </row>
    <row r="325" spans="1:2">
      <c r="A325" s="126"/>
      <c r="B325" s="680"/>
    </row>
    <row r="326" spans="1:2">
      <c r="A326" s="126"/>
      <c r="B326" s="680"/>
    </row>
    <row r="327" spans="1:2">
      <c r="A327" s="126"/>
      <c r="B327" s="680"/>
    </row>
    <row r="328" spans="1:2">
      <c r="A328" s="126"/>
      <c r="B328" s="680"/>
    </row>
    <row r="329" spans="1:2">
      <c r="A329" s="126"/>
      <c r="B329" s="680"/>
    </row>
    <row r="330" spans="1:2">
      <c r="A330" s="126"/>
      <c r="B330" s="680"/>
    </row>
    <row r="331" spans="1:2">
      <c r="A331" s="126"/>
      <c r="B331" s="680"/>
    </row>
    <row r="332" spans="1:2">
      <c r="A332" s="126"/>
      <c r="B332" s="680"/>
    </row>
    <row r="333" spans="1:2">
      <c r="A333" s="126"/>
      <c r="B333" s="680"/>
    </row>
    <row r="334" spans="1:2">
      <c r="A334" s="126"/>
      <c r="B334" s="680"/>
    </row>
    <row r="335" spans="1:2">
      <c r="A335" s="126"/>
      <c r="B335" s="680"/>
    </row>
    <row r="336" spans="1:2">
      <c r="A336" s="126"/>
      <c r="B336" s="680"/>
    </row>
    <row r="337" spans="1:2">
      <c r="A337" s="126"/>
      <c r="B337" s="680"/>
    </row>
    <row r="338" spans="1:2">
      <c r="A338" s="126"/>
      <c r="B338" s="680"/>
    </row>
    <row r="339" spans="1:2">
      <c r="A339" s="126"/>
      <c r="B339" s="680"/>
    </row>
    <row r="340" spans="1:2">
      <c r="A340" s="126"/>
      <c r="B340" s="680"/>
    </row>
    <row r="341" spans="1:2">
      <c r="A341" s="126"/>
      <c r="B341" s="680"/>
    </row>
    <row r="342" spans="1:2">
      <c r="A342" s="126"/>
      <c r="B342" s="680"/>
    </row>
    <row r="343" spans="1:2">
      <c r="A343" s="126"/>
      <c r="B343" s="680"/>
    </row>
    <row r="344" spans="1:2">
      <c r="A344" s="126"/>
      <c r="B344" s="680"/>
    </row>
    <row r="345" spans="1:2">
      <c r="A345" s="126"/>
      <c r="B345" s="680"/>
    </row>
    <row r="346" spans="1:2">
      <c r="A346" s="126"/>
      <c r="B346" s="680"/>
    </row>
    <row r="347" spans="1:2">
      <c r="A347" s="126"/>
      <c r="B347" s="680"/>
    </row>
    <row r="348" spans="1:2">
      <c r="A348" s="126"/>
      <c r="B348" s="680"/>
    </row>
    <row r="349" spans="1:2">
      <c r="A349" s="126"/>
      <c r="B349" s="680"/>
    </row>
    <row r="350" spans="1:2">
      <c r="A350" s="126"/>
      <c r="B350" s="680"/>
    </row>
    <row r="351" spans="1:2">
      <c r="A351" s="126"/>
      <c r="B351" s="680"/>
    </row>
    <row r="352" spans="1:2">
      <c r="A352" s="126"/>
      <c r="B352" s="680"/>
    </row>
    <row r="353" spans="1:2">
      <c r="A353" s="126"/>
      <c r="B353" s="680"/>
    </row>
    <row r="354" spans="1:2">
      <c r="A354" s="126"/>
      <c r="B354" s="680"/>
    </row>
    <row r="355" spans="1:2">
      <c r="A355" s="126"/>
      <c r="B355" s="680"/>
    </row>
    <row r="356" spans="1:2">
      <c r="A356" s="126"/>
      <c r="B356" s="680"/>
    </row>
    <row r="357" spans="1:2">
      <c r="A357" s="126"/>
      <c r="B357" s="680"/>
    </row>
    <row r="358" spans="1:2">
      <c r="A358" s="126"/>
      <c r="B358" s="680"/>
    </row>
    <row r="359" spans="1:2">
      <c r="A359" s="126"/>
      <c r="B359" s="680"/>
    </row>
    <row r="360" spans="1:2">
      <c r="A360" s="126"/>
      <c r="B360" s="680"/>
    </row>
    <row r="361" spans="1:2">
      <c r="A361" s="126"/>
      <c r="B361" s="680"/>
    </row>
    <row r="362" spans="1:2">
      <c r="A362" s="126"/>
      <c r="B362" s="680"/>
    </row>
    <row r="363" spans="1:2">
      <c r="A363" s="126"/>
      <c r="B363" s="680"/>
    </row>
    <row r="364" spans="1:2">
      <c r="A364" s="126"/>
      <c r="B364" s="680"/>
    </row>
    <row r="365" spans="1:2">
      <c r="A365" s="126"/>
      <c r="B365" s="680"/>
    </row>
    <row r="366" spans="1:2">
      <c r="A366" s="126"/>
      <c r="B366" s="680"/>
    </row>
    <row r="367" spans="1:2">
      <c r="A367" s="126"/>
      <c r="B367" s="680"/>
    </row>
    <row r="368" spans="1:2">
      <c r="A368" s="126"/>
      <c r="B368" s="680"/>
    </row>
    <row r="369" spans="1:2">
      <c r="A369" s="126"/>
      <c r="B369" s="680"/>
    </row>
    <row r="370" spans="1:2">
      <c r="A370" s="126"/>
      <c r="B370" s="680"/>
    </row>
    <row r="371" spans="1:2">
      <c r="A371" s="126"/>
      <c r="B371" s="680"/>
    </row>
    <row r="372" spans="1:2">
      <c r="A372" s="126"/>
      <c r="B372" s="680"/>
    </row>
    <row r="373" spans="1:2">
      <c r="A373" s="126"/>
      <c r="B373" s="680"/>
    </row>
    <row r="374" spans="1:2">
      <c r="A374" s="126"/>
      <c r="B374" s="680"/>
    </row>
    <row r="375" spans="1:2">
      <c r="A375" s="126"/>
      <c r="B375" s="680"/>
    </row>
    <row r="376" spans="1:2">
      <c r="A376" s="126"/>
      <c r="B376" s="680"/>
    </row>
    <row r="377" spans="1:2">
      <c r="A377" s="126"/>
      <c r="B377" s="680"/>
    </row>
    <row r="378" spans="1:2">
      <c r="A378" s="126"/>
      <c r="B378" s="680"/>
    </row>
    <row r="379" spans="1:2">
      <c r="A379" s="126"/>
      <c r="B379" s="680"/>
    </row>
    <row r="380" spans="1:2">
      <c r="A380" s="126"/>
      <c r="B380" s="680"/>
    </row>
    <row r="381" spans="1:2">
      <c r="A381" s="126"/>
      <c r="B381" s="680"/>
    </row>
    <row r="382" spans="1:2">
      <c r="A382" s="126"/>
      <c r="B382" s="680"/>
    </row>
    <row r="383" spans="1:2">
      <c r="A383" s="126"/>
      <c r="B383" s="680"/>
    </row>
    <row r="384" spans="1:2">
      <c r="A384" s="126"/>
      <c r="B384" s="680"/>
    </row>
    <row r="385" spans="1:2">
      <c r="A385" s="126"/>
      <c r="B385" s="680"/>
    </row>
    <row r="386" spans="1:2">
      <c r="A386" s="126"/>
      <c r="B386" s="680"/>
    </row>
    <row r="387" spans="1:2">
      <c r="A387" s="126"/>
      <c r="B387" s="680"/>
    </row>
    <row r="388" spans="1:2">
      <c r="A388" s="126"/>
      <c r="B388" s="680"/>
    </row>
    <row r="389" spans="1:2">
      <c r="A389" s="126"/>
      <c r="B389" s="680"/>
    </row>
    <row r="390" spans="1:2">
      <c r="A390" s="126"/>
      <c r="B390" s="680"/>
    </row>
    <row r="391" spans="1:2">
      <c r="A391" s="126"/>
      <c r="B391" s="680"/>
    </row>
    <row r="392" spans="1:2">
      <c r="A392" s="126"/>
      <c r="B392" s="680"/>
    </row>
    <row r="393" spans="1:2">
      <c r="A393" s="126"/>
      <c r="B393" s="680"/>
    </row>
    <row r="394" spans="1:2">
      <c r="A394" s="126"/>
      <c r="B394" s="680"/>
    </row>
    <row r="395" spans="1:2">
      <c r="A395" s="126"/>
      <c r="B395" s="680"/>
    </row>
    <row r="396" spans="1:2">
      <c r="A396" s="126"/>
      <c r="B396" s="680"/>
    </row>
    <row r="397" spans="1:2">
      <c r="A397" s="126"/>
      <c r="B397" s="680"/>
    </row>
    <row r="398" spans="1:2">
      <c r="A398" s="126"/>
      <c r="B398" s="680"/>
    </row>
    <row r="399" spans="1:2">
      <c r="A399" s="126"/>
      <c r="B399" s="680"/>
    </row>
    <row r="400" spans="1:2">
      <c r="A400" s="126"/>
      <c r="B400" s="680"/>
    </row>
    <row r="401" spans="1:2">
      <c r="A401" s="126"/>
      <c r="B401" s="680"/>
    </row>
    <row r="402" spans="1:2">
      <c r="A402" s="126"/>
      <c r="B402" s="680"/>
    </row>
    <row r="403" spans="1:2">
      <c r="A403" s="126"/>
      <c r="B403" s="680"/>
    </row>
    <row r="404" spans="1:2">
      <c r="A404" s="126"/>
      <c r="B404" s="680"/>
    </row>
    <row r="405" spans="1:2">
      <c r="A405" s="126"/>
      <c r="B405" s="680"/>
    </row>
    <row r="406" spans="1:2">
      <c r="A406" s="126"/>
      <c r="B406" s="680"/>
    </row>
    <row r="407" spans="1:2">
      <c r="A407" s="126"/>
      <c r="B407" s="680"/>
    </row>
    <row r="408" spans="1:2">
      <c r="A408" s="126"/>
      <c r="B408" s="680"/>
    </row>
    <row r="409" spans="1:2">
      <c r="A409" s="126"/>
      <c r="B409" s="680"/>
    </row>
    <row r="410" spans="1:2">
      <c r="A410" s="126"/>
      <c r="B410" s="680"/>
    </row>
    <row r="411" spans="1:2">
      <c r="A411" s="126"/>
      <c r="B411" s="680"/>
    </row>
    <row r="412" spans="1:2">
      <c r="A412" s="126"/>
      <c r="B412" s="680"/>
    </row>
    <row r="413" spans="1:2">
      <c r="A413" s="126"/>
      <c r="B413" s="680"/>
    </row>
    <row r="414" spans="1:2">
      <c r="A414" s="126"/>
      <c r="B414" s="680"/>
    </row>
    <row r="415" spans="1:2">
      <c r="A415" s="126"/>
      <c r="B415" s="680"/>
    </row>
    <row r="416" spans="1:2">
      <c r="A416" s="126"/>
      <c r="B416" s="680"/>
    </row>
    <row r="417" spans="1:2">
      <c r="A417" s="126"/>
      <c r="B417" s="680"/>
    </row>
    <row r="418" spans="1:2">
      <c r="A418" s="126"/>
      <c r="B418" s="680"/>
    </row>
    <row r="419" spans="1:2">
      <c r="A419" s="126"/>
      <c r="B419" s="680"/>
    </row>
    <row r="420" spans="1:2">
      <c r="A420" s="126"/>
      <c r="B420" s="680"/>
    </row>
    <row r="421" spans="1:2">
      <c r="A421" s="126"/>
      <c r="B421" s="680"/>
    </row>
    <row r="422" spans="1:2">
      <c r="A422" s="126"/>
      <c r="B422" s="680"/>
    </row>
    <row r="423" spans="1:2">
      <c r="A423" s="126"/>
      <c r="B423" s="680"/>
    </row>
    <row r="424" spans="1:2">
      <c r="A424" s="126"/>
      <c r="B424" s="680"/>
    </row>
    <row r="425" spans="1:2">
      <c r="A425" s="126"/>
      <c r="B425" s="680"/>
    </row>
    <row r="426" spans="1:2">
      <c r="A426" s="126"/>
      <c r="B426" s="680"/>
    </row>
    <row r="427" spans="1:2">
      <c r="A427" s="126"/>
      <c r="B427" s="680"/>
    </row>
    <row r="428" spans="1:2">
      <c r="A428" s="126"/>
      <c r="B428" s="680"/>
    </row>
    <row r="429" spans="1:2">
      <c r="A429" s="126"/>
      <c r="B429" s="680"/>
    </row>
    <row r="430" spans="1:2">
      <c r="A430" s="126"/>
      <c r="B430" s="680"/>
    </row>
    <row r="431" spans="1:2">
      <c r="A431" s="126"/>
      <c r="B431" s="680"/>
    </row>
    <row r="432" spans="1:2">
      <c r="A432" s="126"/>
      <c r="B432" s="680"/>
    </row>
    <row r="433" spans="1:2">
      <c r="A433" s="126"/>
      <c r="B433" s="680"/>
    </row>
    <row r="434" spans="1:2">
      <c r="A434" s="126"/>
      <c r="B434" s="680"/>
    </row>
    <row r="435" spans="1:2">
      <c r="A435" s="126"/>
      <c r="B435" s="680"/>
    </row>
    <row r="436" spans="1:2">
      <c r="A436" s="126"/>
      <c r="B436" s="680"/>
    </row>
    <row r="437" spans="1:2">
      <c r="A437" s="126"/>
      <c r="B437" s="680"/>
    </row>
    <row r="438" spans="1:2">
      <c r="A438" s="126"/>
      <c r="B438" s="680"/>
    </row>
    <row r="439" spans="1:2">
      <c r="A439" s="126"/>
      <c r="B439" s="680"/>
    </row>
    <row r="440" spans="1:2">
      <c r="A440" s="126"/>
      <c r="B440" s="680"/>
    </row>
    <row r="441" spans="1:2">
      <c r="A441" s="126"/>
      <c r="B441" s="680"/>
    </row>
    <row r="442" spans="1:2">
      <c r="A442" s="126"/>
      <c r="B442" s="680"/>
    </row>
    <row r="443" spans="1:2">
      <c r="A443" s="126"/>
      <c r="B443" s="680"/>
    </row>
    <row r="444" spans="1:2">
      <c r="A444" s="126"/>
      <c r="B444" s="680"/>
    </row>
    <row r="445" spans="1:2">
      <c r="A445" s="126"/>
      <c r="B445" s="680"/>
    </row>
    <row r="446" spans="1:2">
      <c r="A446" s="126"/>
      <c r="B446" s="680"/>
    </row>
    <row r="447" spans="1:2">
      <c r="A447" s="126"/>
      <c r="B447" s="680"/>
    </row>
    <row r="448" spans="1:2">
      <c r="A448" s="126"/>
      <c r="B448" s="680"/>
    </row>
    <row r="449" spans="1:2">
      <c r="A449" s="126"/>
      <c r="B449" s="680"/>
    </row>
    <row r="450" spans="1:2">
      <c r="A450" s="126"/>
      <c r="B450" s="680"/>
    </row>
    <row r="451" spans="1:2">
      <c r="A451" s="126"/>
      <c r="B451" s="680"/>
    </row>
    <row r="452" spans="1:2">
      <c r="A452" s="126"/>
      <c r="B452" s="680"/>
    </row>
    <row r="453" spans="1:2">
      <c r="A453" s="126"/>
      <c r="B453" s="680"/>
    </row>
    <row r="454" spans="1:2">
      <c r="A454" s="126"/>
      <c r="B454" s="680"/>
    </row>
    <row r="455" spans="1:2">
      <c r="A455" s="126"/>
      <c r="B455" s="680"/>
    </row>
    <row r="456" spans="1:2">
      <c r="A456" s="126"/>
      <c r="B456" s="680"/>
    </row>
    <row r="457" spans="1:2">
      <c r="A457" s="126"/>
      <c r="B457" s="680"/>
    </row>
    <row r="458" spans="1:2">
      <c r="A458" s="126"/>
      <c r="B458" s="680"/>
    </row>
    <row r="459" spans="1:2">
      <c r="A459" s="126"/>
      <c r="B459" s="680"/>
    </row>
    <row r="460" spans="1:2">
      <c r="A460" s="126"/>
      <c r="B460" s="680"/>
    </row>
    <row r="461" spans="1:2">
      <c r="A461" s="126"/>
      <c r="B461" s="680"/>
    </row>
    <row r="462" spans="1:2">
      <c r="A462" s="126"/>
      <c r="B462" s="680"/>
    </row>
    <row r="463" spans="1:2">
      <c r="A463" s="126"/>
      <c r="B463" s="680"/>
    </row>
    <row r="464" spans="1:2">
      <c r="A464" s="126"/>
      <c r="B464" s="680"/>
    </row>
    <row r="465" spans="1:2">
      <c r="A465" s="126"/>
      <c r="B465" s="680"/>
    </row>
    <row r="466" spans="1:2">
      <c r="A466" s="126"/>
      <c r="B466" s="680"/>
    </row>
    <row r="467" spans="1:2">
      <c r="A467" s="126"/>
      <c r="B467" s="680"/>
    </row>
    <row r="468" spans="1:2">
      <c r="A468" s="126"/>
      <c r="B468" s="680"/>
    </row>
    <row r="469" spans="1:2">
      <c r="A469" s="126"/>
      <c r="B469" s="680"/>
    </row>
    <row r="470" spans="1:2">
      <c r="A470" s="126"/>
      <c r="B470" s="680"/>
    </row>
    <row r="471" spans="1:2">
      <c r="A471" s="126"/>
      <c r="B471" s="680"/>
    </row>
    <row r="472" spans="1:2">
      <c r="A472" s="126"/>
      <c r="B472" s="680"/>
    </row>
    <row r="473" spans="1:2">
      <c r="A473" s="126"/>
      <c r="B473" s="680"/>
    </row>
    <row r="474" spans="1:2">
      <c r="A474" s="126"/>
      <c r="B474" s="680"/>
    </row>
    <row r="475" spans="1:2">
      <c r="A475" s="126"/>
      <c r="B475" s="680"/>
    </row>
    <row r="476" spans="1:2">
      <c r="A476" s="126"/>
      <c r="B476" s="680"/>
    </row>
    <row r="477" spans="1:2">
      <c r="A477" s="126"/>
      <c r="B477" s="680"/>
    </row>
    <row r="478" spans="1:2">
      <c r="A478" s="126"/>
      <c r="B478" s="680"/>
    </row>
    <row r="479" spans="1:2">
      <c r="A479" s="126"/>
      <c r="B479" s="680"/>
    </row>
    <row r="480" spans="1:2">
      <c r="A480" s="126"/>
      <c r="B480" s="680"/>
    </row>
    <row r="481" spans="1:2">
      <c r="A481" s="126"/>
      <c r="B481" s="680"/>
    </row>
    <row r="482" spans="1:2">
      <c r="A482" s="126"/>
      <c r="B482" s="680"/>
    </row>
    <row r="483" spans="1:2">
      <c r="A483" s="126"/>
      <c r="B483" s="680"/>
    </row>
    <row r="484" spans="1:2">
      <c r="A484" s="126"/>
      <c r="B484" s="680"/>
    </row>
    <row r="485" spans="1:2">
      <c r="A485" s="126"/>
      <c r="B485" s="680"/>
    </row>
    <row r="486" spans="1:2">
      <c r="A486" s="126"/>
      <c r="B486" s="680"/>
    </row>
    <row r="487" spans="1:2">
      <c r="A487" s="126"/>
      <c r="B487" s="680"/>
    </row>
    <row r="488" spans="1:2">
      <c r="A488" s="126"/>
      <c r="B488" s="680"/>
    </row>
    <row r="489" spans="1:2">
      <c r="A489" s="126"/>
      <c r="B489" s="680"/>
    </row>
    <row r="490" spans="1:2">
      <c r="A490" s="126"/>
      <c r="B490" s="680"/>
    </row>
    <row r="491" spans="1:2">
      <c r="A491" s="126"/>
      <c r="B491" s="680"/>
    </row>
    <row r="492" spans="1:2">
      <c r="A492" s="126"/>
      <c r="B492" s="680"/>
    </row>
    <row r="493" spans="1:2">
      <c r="A493" s="126"/>
      <c r="B493" s="680"/>
    </row>
    <row r="494" spans="1:2">
      <c r="A494" s="126"/>
      <c r="B494" s="680"/>
    </row>
    <row r="495" spans="1:2">
      <c r="A495" s="126"/>
      <c r="B495" s="680"/>
    </row>
    <row r="496" spans="1:2">
      <c r="A496" s="126"/>
      <c r="B496" s="680"/>
    </row>
    <row r="497" spans="1:2">
      <c r="A497" s="126"/>
      <c r="B497" s="680"/>
    </row>
    <row r="498" spans="1:2">
      <c r="A498" s="126"/>
      <c r="B498" s="680"/>
    </row>
    <row r="499" spans="1:2">
      <c r="A499" s="126"/>
      <c r="B499" s="680"/>
    </row>
    <row r="500" spans="1:2">
      <c r="A500" s="126"/>
      <c r="B500" s="680"/>
    </row>
    <row r="501" spans="1:2">
      <c r="A501" s="126"/>
      <c r="B501" s="680"/>
    </row>
    <row r="502" spans="1:2">
      <c r="A502" s="126"/>
      <c r="B502" s="680"/>
    </row>
    <row r="503" spans="1:2">
      <c r="A503" s="126"/>
      <c r="B503" s="680"/>
    </row>
    <row r="504" spans="1:2">
      <c r="A504" s="126"/>
      <c r="B504" s="680"/>
    </row>
    <row r="505" spans="1:2">
      <c r="A505" s="126"/>
      <c r="B505" s="680"/>
    </row>
    <row r="506" spans="1:2">
      <c r="A506" s="126"/>
      <c r="B506" s="680"/>
    </row>
    <row r="507" spans="1:2">
      <c r="A507" s="126"/>
      <c r="B507" s="680"/>
    </row>
    <row r="508" spans="1:2">
      <c r="A508" s="126"/>
      <c r="B508" s="680"/>
    </row>
    <row r="509" spans="1:2">
      <c r="A509" s="126"/>
      <c r="B509" s="680"/>
    </row>
    <row r="510" spans="1:2">
      <c r="A510" s="126"/>
      <c r="B510" s="680"/>
    </row>
    <row r="511" spans="1:2">
      <c r="A511" s="126"/>
      <c r="B511" s="680"/>
    </row>
    <row r="512" spans="1:2">
      <c r="A512" s="126"/>
      <c r="B512" s="680"/>
    </row>
    <row r="513" spans="1:2">
      <c r="A513" s="126"/>
      <c r="B513" s="680"/>
    </row>
    <row r="514" spans="1:2">
      <c r="A514" s="126"/>
      <c r="B514" s="680"/>
    </row>
    <row r="515" spans="1:2">
      <c r="A515" s="126"/>
      <c r="B515" s="680"/>
    </row>
    <row r="516" spans="1:2">
      <c r="A516" s="126"/>
      <c r="B516" s="680"/>
    </row>
    <row r="517" spans="1:2">
      <c r="A517" s="126"/>
      <c r="B517" s="680"/>
    </row>
    <row r="518" spans="1:2">
      <c r="A518" s="126"/>
      <c r="B518" s="680"/>
    </row>
    <row r="519" spans="1:2">
      <c r="A519" s="126"/>
      <c r="B519" s="680"/>
    </row>
    <row r="520" spans="1:2">
      <c r="A520" s="126"/>
      <c r="B520" s="680"/>
    </row>
    <row r="521" spans="1:2">
      <c r="A521" s="126"/>
      <c r="B521" s="680"/>
    </row>
    <row r="522" spans="1:2">
      <c r="A522" s="126"/>
      <c r="B522" s="680"/>
    </row>
    <row r="523" spans="1:2">
      <c r="A523" s="126"/>
      <c r="B523" s="680"/>
    </row>
    <row r="524" spans="1:2">
      <c r="A524" s="126"/>
      <c r="B524" s="680"/>
    </row>
    <row r="525" spans="1:2">
      <c r="A525" s="126"/>
      <c r="B525" s="680"/>
    </row>
    <row r="526" spans="1:2">
      <c r="A526" s="126"/>
      <c r="B526" s="680"/>
    </row>
    <row r="527" spans="1:2">
      <c r="A527" s="126"/>
      <c r="B527" s="680"/>
    </row>
    <row r="528" spans="1:2">
      <c r="A528" s="126"/>
      <c r="B528" s="680"/>
    </row>
    <row r="529" spans="1:2">
      <c r="A529" s="126"/>
      <c r="B529" s="680"/>
    </row>
    <row r="530" spans="1:2">
      <c r="A530" s="126"/>
      <c r="B530" s="680"/>
    </row>
    <row r="531" spans="1:2">
      <c r="A531" s="126"/>
      <c r="B531" s="680"/>
    </row>
    <row r="532" spans="1:2">
      <c r="A532" s="126"/>
      <c r="B532" s="680"/>
    </row>
    <row r="533" spans="1:2">
      <c r="A533" s="126"/>
      <c r="B533" s="680"/>
    </row>
    <row r="534" spans="1:2">
      <c r="A534" s="126"/>
      <c r="B534" s="680"/>
    </row>
    <row r="535" spans="1:2">
      <c r="A535" s="126"/>
      <c r="B535" s="680"/>
    </row>
    <row r="536" spans="1:2">
      <c r="A536" s="126"/>
      <c r="B536" s="680"/>
    </row>
    <row r="537" spans="1:2">
      <c r="A537" s="126"/>
      <c r="B537" s="680"/>
    </row>
    <row r="538" spans="1:2">
      <c r="A538" s="126"/>
      <c r="B538" s="680"/>
    </row>
    <row r="539" spans="1:2">
      <c r="A539" s="126"/>
      <c r="B539" s="680"/>
    </row>
    <row r="540" spans="1:2">
      <c r="A540" s="126"/>
      <c r="B540" s="680"/>
    </row>
    <row r="541" spans="1:2">
      <c r="A541" s="126"/>
      <c r="B541" s="680"/>
    </row>
    <row r="542" spans="1:2">
      <c r="A542" s="126"/>
      <c r="B542" s="680"/>
    </row>
    <row r="543" spans="1:2">
      <c r="A543" s="126"/>
      <c r="B543" s="680"/>
    </row>
    <row r="544" spans="1:2">
      <c r="A544" s="126"/>
      <c r="B544" s="680"/>
    </row>
    <row r="545" spans="1:2">
      <c r="A545" s="126"/>
      <c r="B545" s="680"/>
    </row>
    <row r="546" spans="1:2">
      <c r="A546" s="126"/>
      <c r="B546" s="680"/>
    </row>
    <row r="547" spans="1:2">
      <c r="A547" s="126"/>
      <c r="B547" s="680"/>
    </row>
    <row r="548" spans="1:2">
      <c r="A548" s="126"/>
      <c r="B548" s="680"/>
    </row>
    <row r="549" spans="1:2">
      <c r="A549" s="126"/>
      <c r="B549" s="680"/>
    </row>
    <row r="550" spans="1:2">
      <c r="A550" s="126"/>
      <c r="B550" s="680"/>
    </row>
    <row r="551" spans="1:2">
      <c r="A551" s="126"/>
      <c r="B551" s="680"/>
    </row>
    <row r="552" spans="1:2">
      <c r="A552" s="126"/>
      <c r="B552" s="680"/>
    </row>
    <row r="553" spans="1:2">
      <c r="A553" s="126"/>
      <c r="B553" s="680"/>
    </row>
    <row r="554" spans="1:2">
      <c r="A554" s="126"/>
      <c r="B554" s="680"/>
    </row>
    <row r="555" spans="1:2">
      <c r="A555" s="126"/>
      <c r="B555" s="680"/>
    </row>
    <row r="556" spans="1:2">
      <c r="A556" s="126"/>
      <c r="B556" s="680"/>
    </row>
    <row r="557" spans="1:2">
      <c r="A557" s="126"/>
      <c r="B557" s="680"/>
    </row>
    <row r="558" spans="1:2">
      <c r="A558" s="126"/>
      <c r="B558" s="680"/>
    </row>
    <row r="559" spans="1:2">
      <c r="A559" s="126"/>
      <c r="B559" s="680"/>
    </row>
    <row r="560" spans="1:2">
      <c r="A560" s="126"/>
      <c r="B560" s="680"/>
    </row>
    <row r="561" spans="1:2">
      <c r="A561" s="126"/>
      <c r="B561" s="680"/>
    </row>
    <row r="562" spans="1:2">
      <c r="A562" s="126"/>
      <c r="B562" s="680"/>
    </row>
    <row r="563" spans="1:2">
      <c r="A563" s="126"/>
      <c r="B563" s="680"/>
    </row>
    <row r="564" spans="1:2">
      <c r="A564" s="126"/>
      <c r="B564" s="680"/>
    </row>
    <row r="565" spans="1:2">
      <c r="A565" s="126"/>
      <c r="B565" s="680"/>
    </row>
    <row r="566" spans="1:2">
      <c r="A566" s="126"/>
      <c r="B566" s="680"/>
    </row>
    <row r="567" spans="1:2">
      <c r="A567" s="126"/>
      <c r="B567" s="680"/>
    </row>
    <row r="568" spans="1:2">
      <c r="A568" s="126"/>
      <c r="B568" s="680"/>
    </row>
    <row r="569" spans="1:2">
      <c r="A569" s="126"/>
      <c r="B569" s="680"/>
    </row>
    <row r="570" spans="1:2">
      <c r="A570" s="126"/>
      <c r="B570" s="680"/>
    </row>
    <row r="571" spans="1:2">
      <c r="A571" s="126"/>
      <c r="B571" s="680"/>
    </row>
    <row r="572" spans="1:2">
      <c r="A572" s="126"/>
      <c r="B572" s="680"/>
    </row>
    <row r="573" spans="1:2">
      <c r="A573" s="126"/>
      <c r="B573" s="680"/>
    </row>
    <row r="574" spans="1:2">
      <c r="A574" s="126"/>
      <c r="B574" s="680"/>
    </row>
    <row r="575" spans="1:2">
      <c r="A575" s="126"/>
      <c r="B575" s="680"/>
    </row>
    <row r="576" spans="1:2">
      <c r="A576" s="126"/>
      <c r="B576" s="680"/>
    </row>
    <row r="577" spans="1:2">
      <c r="A577" s="126"/>
      <c r="B577" s="680"/>
    </row>
    <row r="578" spans="1:2">
      <c r="A578" s="126"/>
      <c r="B578" s="680"/>
    </row>
    <row r="579" spans="1:2">
      <c r="A579" s="126"/>
      <c r="B579" s="680"/>
    </row>
    <row r="580" spans="1:2">
      <c r="A580" s="126"/>
      <c r="B580" s="680"/>
    </row>
    <row r="581" spans="1:2">
      <c r="A581" s="126"/>
      <c r="B581" s="680"/>
    </row>
    <row r="582" spans="1:2">
      <c r="A582" s="126"/>
      <c r="B582" s="680"/>
    </row>
    <row r="583" spans="1:2">
      <c r="A583" s="126"/>
      <c r="B583" s="680"/>
    </row>
    <row r="584" spans="1:2">
      <c r="A584" s="126"/>
      <c r="B584" s="680"/>
    </row>
    <row r="585" spans="1:2">
      <c r="A585" s="126"/>
      <c r="B585" s="680"/>
    </row>
    <row r="586" spans="1:2">
      <c r="A586" s="126"/>
      <c r="B586" s="680"/>
    </row>
    <row r="587" spans="1:2">
      <c r="A587" s="126"/>
      <c r="B587" s="680"/>
    </row>
    <row r="588" spans="1:2">
      <c r="A588" s="126"/>
      <c r="B588" s="680"/>
    </row>
    <row r="589" spans="1:2">
      <c r="A589" s="126"/>
      <c r="B589" s="680"/>
    </row>
    <row r="590" spans="1:2">
      <c r="A590" s="126"/>
      <c r="B590" s="680"/>
    </row>
    <row r="591" spans="1:2">
      <c r="A591" s="126"/>
      <c r="B591" s="680"/>
    </row>
    <row r="592" spans="1:2">
      <c r="A592" s="126"/>
      <c r="B592" s="680"/>
    </row>
    <row r="593" spans="1:2">
      <c r="A593" s="126"/>
      <c r="B593" s="680"/>
    </row>
    <row r="594" spans="1:2">
      <c r="A594" s="126"/>
      <c r="B594" s="680"/>
    </row>
    <row r="595" spans="1:2">
      <c r="A595" s="126"/>
      <c r="B595" s="680"/>
    </row>
    <row r="596" spans="1:2">
      <c r="A596" s="126"/>
      <c r="B596" s="680"/>
    </row>
    <row r="597" spans="1:2">
      <c r="A597" s="126"/>
      <c r="B597" s="680"/>
    </row>
    <row r="598" spans="1:2">
      <c r="A598" s="126"/>
      <c r="B598" s="680"/>
    </row>
    <row r="599" spans="1:2">
      <c r="A599" s="126"/>
      <c r="B599" s="680"/>
    </row>
    <row r="600" spans="1:2">
      <c r="A600" s="126"/>
      <c r="B600" s="680"/>
    </row>
    <row r="601" spans="1:2">
      <c r="A601" s="126"/>
      <c r="B601" s="680"/>
    </row>
    <row r="602" spans="1:2">
      <c r="A602" s="126"/>
      <c r="B602" s="680"/>
    </row>
    <row r="603" spans="1:2">
      <c r="A603" s="126"/>
      <c r="B603" s="680"/>
    </row>
    <row r="604" spans="1:2">
      <c r="A604" s="126"/>
      <c r="B604" s="680"/>
    </row>
    <row r="605" spans="1:2">
      <c r="A605" s="126"/>
      <c r="B605" s="680"/>
    </row>
    <row r="606" spans="1:2">
      <c r="A606" s="126"/>
      <c r="B606" s="680"/>
    </row>
    <row r="607" spans="1:2">
      <c r="A607" s="126"/>
      <c r="B607" s="680"/>
    </row>
    <row r="608" spans="1:2">
      <c r="A608" s="126"/>
      <c r="B608" s="680"/>
    </row>
    <row r="609" spans="1:2">
      <c r="A609" s="126"/>
      <c r="B609" s="680"/>
    </row>
    <row r="610" spans="1:2">
      <c r="A610" s="126"/>
      <c r="B610" s="680"/>
    </row>
    <row r="611" spans="1:2">
      <c r="A611" s="126"/>
      <c r="B611" s="680"/>
    </row>
    <row r="612" spans="1:2">
      <c r="A612" s="126"/>
      <c r="B612" s="680"/>
    </row>
    <row r="613" spans="1:2">
      <c r="A613" s="126"/>
      <c r="B613" s="680"/>
    </row>
    <row r="614" spans="1:2">
      <c r="A614" s="126"/>
      <c r="B614" s="680"/>
    </row>
    <row r="615" spans="1:2">
      <c r="A615" s="126"/>
      <c r="B615" s="680"/>
    </row>
    <row r="616" spans="1:2">
      <c r="A616" s="126"/>
      <c r="B616" s="680"/>
    </row>
    <row r="617" spans="1:2">
      <c r="A617" s="126"/>
      <c r="B617" s="680"/>
    </row>
    <row r="618" spans="1:2">
      <c r="A618" s="126"/>
      <c r="B618" s="680"/>
    </row>
    <row r="619" spans="1:2">
      <c r="A619" s="126"/>
      <c r="B619" s="680"/>
    </row>
    <row r="620" spans="1:2">
      <c r="A620" s="126"/>
      <c r="B620" s="680"/>
    </row>
    <row r="621" spans="1:2">
      <c r="A621" s="126"/>
      <c r="B621" s="680"/>
    </row>
    <row r="622" spans="1:2">
      <c r="A622" s="126"/>
      <c r="B622" s="680"/>
    </row>
    <row r="623" spans="1:2">
      <c r="A623" s="126"/>
      <c r="B623" s="680"/>
    </row>
    <row r="624" spans="1:2">
      <c r="A624" s="126"/>
      <c r="B624" s="680"/>
    </row>
    <row r="625" spans="1:2">
      <c r="A625" s="126"/>
      <c r="B625" s="680"/>
    </row>
    <row r="626" spans="1:2">
      <c r="A626" s="126"/>
      <c r="B626" s="680"/>
    </row>
    <row r="627" spans="1:2">
      <c r="A627" s="126"/>
      <c r="B627" s="680"/>
    </row>
    <row r="628" spans="1:2">
      <c r="A628" s="126"/>
      <c r="B628" s="680"/>
    </row>
    <row r="629" spans="1:2">
      <c r="A629" s="126"/>
      <c r="B629" s="680"/>
    </row>
    <row r="630" spans="1:2">
      <c r="A630" s="126"/>
      <c r="B630" s="680"/>
    </row>
    <row r="631" spans="1:2">
      <c r="A631" s="126"/>
      <c r="B631" s="680"/>
    </row>
    <row r="632" spans="1:2">
      <c r="A632" s="126"/>
      <c r="B632" s="680"/>
    </row>
    <row r="633" spans="1:2">
      <c r="A633" s="126"/>
      <c r="B633" s="680"/>
    </row>
    <row r="634" spans="1:2">
      <c r="A634" s="126"/>
      <c r="B634" s="680"/>
    </row>
    <row r="635" spans="1:2">
      <c r="A635" s="126"/>
      <c r="B635" s="680"/>
    </row>
    <row r="636" spans="1:2">
      <c r="A636" s="126"/>
      <c r="B636" s="680"/>
    </row>
    <row r="637" spans="1:2">
      <c r="A637" s="126"/>
      <c r="B637" s="680"/>
    </row>
    <row r="638" spans="1:2">
      <c r="A638" s="126"/>
      <c r="B638" s="680"/>
    </row>
    <row r="639" spans="1:2">
      <c r="A639" s="126"/>
      <c r="B639" s="680"/>
    </row>
    <row r="640" spans="1:2">
      <c r="A640" s="126"/>
      <c r="B640" s="680"/>
    </row>
    <row r="641" spans="1:2">
      <c r="A641" s="126"/>
      <c r="B641" s="680"/>
    </row>
    <row r="642" spans="1:2">
      <c r="A642" s="126"/>
      <c r="B642" s="680"/>
    </row>
    <row r="643" spans="1:2">
      <c r="A643" s="126"/>
      <c r="B643" s="680"/>
    </row>
    <row r="644" spans="1:2">
      <c r="A644" s="126"/>
      <c r="B644" s="680"/>
    </row>
    <row r="645" spans="1:2">
      <c r="A645" s="126"/>
      <c r="B645" s="680"/>
    </row>
    <row r="646" spans="1:2">
      <c r="A646" s="126"/>
      <c r="B646" s="680"/>
    </row>
    <row r="647" spans="1:2">
      <c r="A647" s="126"/>
      <c r="B647" s="680"/>
    </row>
    <row r="648" spans="1:2">
      <c r="A648" s="126"/>
      <c r="B648" s="680"/>
    </row>
    <row r="649" spans="1:2">
      <c r="A649" s="126"/>
      <c r="B649" s="680"/>
    </row>
    <row r="650" spans="1:2">
      <c r="A650" s="126"/>
      <c r="B650" s="680"/>
    </row>
    <row r="651" spans="1:2">
      <c r="A651" s="126"/>
      <c r="B651" s="680"/>
    </row>
    <row r="652" spans="1:2">
      <c r="A652" s="126"/>
      <c r="B652" s="680"/>
    </row>
    <row r="653" spans="1:2">
      <c r="A653" s="126"/>
      <c r="B653" s="680"/>
    </row>
    <row r="654" spans="1:2">
      <c r="A654" s="126"/>
      <c r="B654" s="680"/>
    </row>
    <row r="655" spans="1:2">
      <c r="A655" s="126"/>
      <c r="B655" s="680"/>
    </row>
    <row r="656" spans="1:2">
      <c r="A656" s="126"/>
      <c r="B656" s="680"/>
    </row>
    <row r="657" spans="1:2">
      <c r="A657" s="126"/>
      <c r="B657" s="680"/>
    </row>
    <row r="658" spans="1:2">
      <c r="A658" s="126"/>
      <c r="B658" s="680"/>
    </row>
    <row r="659" spans="1:2">
      <c r="A659" s="126"/>
      <c r="B659" s="680"/>
    </row>
    <row r="660" spans="1:2">
      <c r="A660" s="126"/>
      <c r="B660" s="680"/>
    </row>
    <row r="661" spans="1:2">
      <c r="A661" s="126"/>
      <c r="B661" s="680"/>
    </row>
    <row r="662" spans="1:2">
      <c r="A662" s="126"/>
      <c r="B662" s="680"/>
    </row>
    <row r="663" spans="1:2">
      <c r="A663" s="126"/>
      <c r="B663" s="680"/>
    </row>
    <row r="664" spans="1:2">
      <c r="A664" s="126"/>
      <c r="B664" s="680"/>
    </row>
    <row r="665" spans="1:2">
      <c r="A665" s="126"/>
      <c r="B665" s="680"/>
    </row>
    <row r="666" spans="1:2">
      <c r="A666" s="126"/>
      <c r="B666" s="680"/>
    </row>
    <row r="667" spans="1:2">
      <c r="A667" s="126"/>
      <c r="B667" s="680"/>
    </row>
    <row r="668" spans="1:2">
      <c r="A668" s="126"/>
      <c r="B668" s="680"/>
    </row>
    <row r="669" spans="1:2">
      <c r="A669" s="126"/>
      <c r="B669" s="680"/>
    </row>
    <row r="670" spans="1:2">
      <c r="A670" s="126"/>
      <c r="B670" s="680"/>
    </row>
    <row r="671" spans="1:2">
      <c r="A671" s="126"/>
      <c r="B671" s="680"/>
    </row>
    <row r="672" spans="1:2">
      <c r="A672" s="126"/>
      <c r="B672" s="680"/>
    </row>
    <row r="673" spans="1:2">
      <c r="A673" s="126"/>
      <c r="B673" s="680"/>
    </row>
    <row r="674" spans="1:2">
      <c r="A674" s="126"/>
      <c r="B674" s="680"/>
    </row>
    <row r="675" spans="1:2">
      <c r="A675" s="126"/>
      <c r="B675" s="680"/>
    </row>
    <row r="676" spans="1:2">
      <c r="A676" s="126"/>
      <c r="B676" s="680"/>
    </row>
    <row r="677" spans="1:2">
      <c r="A677" s="126"/>
      <c r="B677" s="680"/>
    </row>
    <row r="678" spans="1:2">
      <c r="A678" s="126"/>
      <c r="B678" s="680"/>
    </row>
    <row r="679" spans="1:2">
      <c r="A679" s="126"/>
      <c r="B679" s="680"/>
    </row>
    <row r="680" spans="1:2">
      <c r="A680" s="126"/>
      <c r="B680" s="680"/>
    </row>
    <row r="681" spans="1:2">
      <c r="A681" s="126"/>
      <c r="B681" s="680"/>
    </row>
    <row r="682" spans="1:2">
      <c r="A682" s="126"/>
      <c r="B682" s="680"/>
    </row>
    <row r="683" spans="1:2">
      <c r="A683" s="126"/>
      <c r="B683" s="680"/>
    </row>
    <row r="684" spans="1:2">
      <c r="A684" s="126"/>
      <c r="B684" s="680"/>
    </row>
    <row r="685" spans="1:2">
      <c r="A685" s="126"/>
      <c r="B685" s="680"/>
    </row>
    <row r="686" spans="1:2">
      <c r="A686" s="126"/>
      <c r="B686" s="680"/>
    </row>
    <row r="687" spans="1:2">
      <c r="A687" s="126"/>
      <c r="B687" s="680"/>
    </row>
    <row r="688" spans="1:2">
      <c r="A688" s="126"/>
      <c r="B688" s="680"/>
    </row>
    <row r="689" spans="1:2">
      <c r="A689" s="126"/>
      <c r="B689" s="680"/>
    </row>
    <row r="690" spans="1:2">
      <c r="A690" s="126"/>
      <c r="B690" s="680"/>
    </row>
    <row r="691" spans="1:2">
      <c r="A691" s="126"/>
      <c r="B691" s="680"/>
    </row>
    <row r="692" spans="1:2">
      <c r="A692" s="126"/>
      <c r="B692" s="680"/>
    </row>
    <row r="693" spans="1:2">
      <c r="A693" s="126"/>
      <c r="B693" s="680"/>
    </row>
    <row r="694" spans="1:2">
      <c r="A694" s="126"/>
      <c r="B694" s="680"/>
    </row>
    <row r="695" spans="1:2">
      <c r="A695" s="126"/>
      <c r="B695" s="680"/>
    </row>
    <row r="696" spans="1:2">
      <c r="A696" s="126"/>
      <c r="B696" s="680"/>
    </row>
    <row r="697" spans="1:2">
      <c r="A697" s="126"/>
      <c r="B697" s="680"/>
    </row>
    <row r="698" spans="1:2">
      <c r="A698" s="126"/>
      <c r="B698" s="680"/>
    </row>
    <row r="699" spans="1:2">
      <c r="A699" s="126"/>
      <c r="B699" s="680"/>
    </row>
    <row r="700" spans="1:2">
      <c r="A700" s="126"/>
      <c r="B700" s="680"/>
    </row>
    <row r="701" spans="1:2">
      <c r="A701" s="126"/>
      <c r="B701" s="680"/>
    </row>
    <row r="702" spans="1:2">
      <c r="A702" s="126"/>
      <c r="B702" s="680"/>
    </row>
    <row r="703" spans="1:2">
      <c r="A703" s="126"/>
      <c r="B703" s="680"/>
    </row>
    <row r="704" spans="1:2">
      <c r="A704" s="126"/>
      <c r="B704" s="680"/>
    </row>
    <row r="705" spans="1:2">
      <c r="A705" s="126"/>
      <c r="B705" s="680"/>
    </row>
    <row r="706" spans="1:2">
      <c r="A706" s="126"/>
      <c r="B706" s="680"/>
    </row>
    <row r="707" spans="1:2">
      <c r="A707" s="126"/>
      <c r="B707" s="680"/>
    </row>
    <row r="708" spans="1:2">
      <c r="A708" s="126"/>
      <c r="B708" s="680"/>
    </row>
    <row r="709" spans="1:2">
      <c r="A709" s="126"/>
      <c r="B709" s="680"/>
    </row>
    <row r="710" spans="1:2">
      <c r="A710" s="126"/>
      <c r="B710" s="680"/>
    </row>
    <row r="711" spans="1:2">
      <c r="A711" s="126"/>
      <c r="B711" s="680"/>
    </row>
    <row r="712" spans="1:2">
      <c r="A712" s="126"/>
      <c r="B712" s="680"/>
    </row>
    <row r="713" spans="1:2">
      <c r="A713" s="126"/>
      <c r="B713" s="680"/>
    </row>
    <row r="714" spans="1:2">
      <c r="A714" s="126"/>
      <c r="B714" s="680"/>
    </row>
    <row r="715" spans="1:2">
      <c r="A715" s="126"/>
      <c r="B715" s="680"/>
    </row>
    <row r="716" spans="1:2">
      <c r="A716" s="126"/>
      <c r="B716" s="680"/>
    </row>
    <row r="717" spans="1:2">
      <c r="A717" s="126"/>
      <c r="B717" s="680"/>
    </row>
    <row r="718" spans="1:2">
      <c r="A718" s="126"/>
      <c r="B718" s="680"/>
    </row>
    <row r="719" spans="1:2">
      <c r="A719" s="126"/>
      <c r="B719" s="680"/>
    </row>
    <row r="720" spans="1:2">
      <c r="A720" s="126"/>
      <c r="B720" s="680"/>
    </row>
    <row r="721" spans="1:2">
      <c r="A721" s="126"/>
      <c r="B721" s="680"/>
    </row>
    <row r="722" spans="1:2">
      <c r="A722" s="126"/>
      <c r="B722" s="680"/>
    </row>
    <row r="723" spans="1:2">
      <c r="A723" s="126"/>
      <c r="B723" s="680"/>
    </row>
    <row r="724" spans="1:2">
      <c r="A724" s="126"/>
      <c r="B724" s="680"/>
    </row>
    <row r="725" spans="1:2">
      <c r="A725" s="126"/>
      <c r="B725" s="680"/>
    </row>
    <row r="726" spans="1:2">
      <c r="A726" s="126"/>
      <c r="B726" s="680"/>
    </row>
    <row r="727" spans="1:2">
      <c r="A727" s="126"/>
      <c r="B727" s="680"/>
    </row>
    <row r="728" spans="1:2">
      <c r="A728" s="126"/>
      <c r="B728" s="680"/>
    </row>
    <row r="729" spans="1:2">
      <c r="A729" s="126"/>
      <c r="B729" s="680"/>
    </row>
    <row r="730" spans="1:2">
      <c r="A730" s="126"/>
      <c r="B730" s="680"/>
    </row>
    <row r="731" spans="1:2">
      <c r="A731" s="126"/>
      <c r="B731" s="680"/>
    </row>
    <row r="732" spans="1:2">
      <c r="A732" s="126"/>
      <c r="B732" s="680"/>
    </row>
    <row r="733" spans="1:2">
      <c r="A733" s="126"/>
      <c r="B733" s="680"/>
    </row>
    <row r="734" spans="1:2">
      <c r="A734" s="126"/>
      <c r="B734" s="680"/>
    </row>
    <row r="735" spans="1:2">
      <c r="A735" s="126"/>
      <c r="B735" s="680"/>
    </row>
    <row r="736" spans="1:2">
      <c r="A736" s="126"/>
      <c r="B736" s="680"/>
    </row>
    <row r="737" spans="1:2">
      <c r="A737" s="126"/>
      <c r="B737" s="680"/>
    </row>
    <row r="738" spans="1:2">
      <c r="A738" s="126"/>
      <c r="B738" s="680"/>
    </row>
    <row r="739" spans="1:2">
      <c r="A739" s="126"/>
      <c r="B739" s="680"/>
    </row>
    <row r="740" spans="1:2">
      <c r="A740" s="126"/>
      <c r="B740" s="680"/>
    </row>
    <row r="741" spans="1:2">
      <c r="A741" s="126"/>
      <c r="B741" s="680"/>
    </row>
    <row r="742" spans="1:2">
      <c r="A742" s="126"/>
      <c r="B742" s="680"/>
    </row>
    <row r="743" spans="1:2">
      <c r="A743" s="126"/>
      <c r="B743" s="680"/>
    </row>
    <row r="744" spans="1:2">
      <c r="A744" s="126"/>
      <c r="B744" s="680"/>
    </row>
    <row r="745" spans="1:2">
      <c r="A745" s="126"/>
      <c r="B745" s="680"/>
    </row>
    <row r="746" spans="1:2">
      <c r="A746" s="126"/>
      <c r="B746" s="680"/>
    </row>
    <row r="747" spans="1:2">
      <c r="A747" s="126"/>
      <c r="B747" s="680"/>
    </row>
    <row r="748" spans="1:2">
      <c r="A748" s="126"/>
      <c r="B748" s="680"/>
    </row>
    <row r="749" spans="1:2">
      <c r="A749" s="126"/>
      <c r="B749" s="680"/>
    </row>
    <row r="750" spans="1:2">
      <c r="A750" s="126"/>
      <c r="B750" s="680"/>
    </row>
    <row r="751" spans="1:2">
      <c r="A751" s="126"/>
      <c r="B751" s="680"/>
    </row>
    <row r="752" spans="1:2">
      <c r="A752" s="126"/>
      <c r="B752" s="680"/>
    </row>
    <row r="753" spans="1:2">
      <c r="A753" s="126"/>
      <c r="B753" s="680"/>
    </row>
    <row r="754" spans="1:2">
      <c r="A754" s="126"/>
      <c r="B754" s="680"/>
    </row>
    <row r="755" spans="1:2">
      <c r="A755" s="126"/>
      <c r="B755" s="680"/>
    </row>
    <row r="756" spans="1:2">
      <c r="A756" s="126"/>
      <c r="B756" s="680"/>
    </row>
    <row r="757" spans="1:2">
      <c r="A757" s="126"/>
      <c r="B757" s="680"/>
    </row>
    <row r="758" spans="1:2">
      <c r="A758" s="126"/>
      <c r="B758" s="680"/>
    </row>
    <row r="759" spans="1:2">
      <c r="A759" s="126"/>
      <c r="B759" s="680"/>
    </row>
    <row r="760" spans="1:2">
      <c r="A760" s="126"/>
      <c r="B760" s="680"/>
    </row>
    <row r="761" spans="1:2">
      <c r="A761" s="126"/>
      <c r="B761" s="680"/>
    </row>
    <row r="762" spans="1:2">
      <c r="A762" s="126"/>
      <c r="B762" s="680"/>
    </row>
    <row r="763" spans="1:2">
      <c r="A763" s="126"/>
      <c r="B763" s="680"/>
    </row>
    <row r="764" spans="1:2">
      <c r="A764" s="126"/>
      <c r="B764" s="680"/>
    </row>
    <row r="765" spans="1:2">
      <c r="A765" s="126"/>
      <c r="B765" s="680"/>
    </row>
    <row r="766" spans="1:2">
      <c r="A766" s="126"/>
      <c r="B766" s="680"/>
    </row>
    <row r="767" spans="1:2">
      <c r="A767" s="126"/>
      <c r="B767" s="680"/>
    </row>
    <row r="768" spans="1:2">
      <c r="A768" s="126"/>
      <c r="B768" s="680"/>
    </row>
    <row r="769" spans="1:2">
      <c r="A769" s="126"/>
      <c r="B769" s="680"/>
    </row>
    <row r="770" spans="1:2">
      <c r="A770" s="126"/>
      <c r="B770" s="680"/>
    </row>
    <row r="771" spans="1:2">
      <c r="A771" s="126"/>
      <c r="B771" s="680"/>
    </row>
    <row r="772" spans="1:2">
      <c r="A772" s="126"/>
      <c r="B772" s="680"/>
    </row>
    <row r="773" spans="1:2">
      <c r="A773" s="126"/>
      <c r="B773" s="680"/>
    </row>
    <row r="774" spans="1:2">
      <c r="A774" s="126"/>
      <c r="B774" s="680"/>
    </row>
    <row r="775" spans="1:2">
      <c r="A775" s="126"/>
      <c r="B775" s="680"/>
    </row>
    <row r="776" spans="1:2">
      <c r="A776" s="126"/>
      <c r="B776" s="680"/>
    </row>
    <row r="777" spans="1:2">
      <c r="A777" s="126"/>
      <c r="B777" s="680"/>
    </row>
    <row r="778" spans="1:2">
      <c r="A778" s="126"/>
      <c r="B778" s="680"/>
    </row>
    <row r="779" spans="1:2">
      <c r="A779" s="126"/>
      <c r="B779" s="680"/>
    </row>
    <row r="780" spans="1:2">
      <c r="A780" s="126"/>
      <c r="B780" s="680"/>
    </row>
    <row r="781" spans="1:2">
      <c r="A781" s="126"/>
      <c r="B781" s="680"/>
    </row>
    <row r="782" spans="1:2">
      <c r="A782" s="126"/>
      <c r="B782" s="680"/>
    </row>
    <row r="783" spans="1:2">
      <c r="A783" s="126"/>
      <c r="B783" s="680"/>
    </row>
    <row r="784" spans="1:2">
      <c r="A784" s="126"/>
      <c r="B784" s="680"/>
    </row>
    <row r="785" spans="1:2">
      <c r="A785" s="126"/>
      <c r="B785" s="680"/>
    </row>
    <row r="786" spans="1:2">
      <c r="A786" s="126"/>
      <c r="B786" s="680"/>
    </row>
    <row r="787" spans="1:2">
      <c r="A787" s="126"/>
      <c r="B787" s="680"/>
    </row>
    <row r="788" spans="1:2">
      <c r="A788" s="126"/>
      <c r="B788" s="680"/>
    </row>
    <row r="789" spans="1:2">
      <c r="A789" s="126"/>
      <c r="B789" s="680"/>
    </row>
    <row r="790" spans="1:2">
      <c r="A790" s="126"/>
      <c r="B790" s="680"/>
    </row>
    <row r="791" spans="1:2">
      <c r="A791" s="126"/>
      <c r="B791" s="680"/>
    </row>
    <row r="792" spans="1:2">
      <c r="A792" s="126"/>
      <c r="B792" s="680"/>
    </row>
    <row r="793" spans="1:2">
      <c r="A793" s="126"/>
      <c r="B793" s="680"/>
    </row>
    <row r="794" spans="1:2">
      <c r="A794" s="126"/>
      <c r="B794" s="680"/>
    </row>
    <row r="795" spans="1:2">
      <c r="A795" s="126"/>
      <c r="B795" s="680"/>
    </row>
    <row r="796" spans="1:2">
      <c r="A796" s="126"/>
      <c r="B796" s="680"/>
    </row>
    <row r="797" spans="1:2">
      <c r="A797" s="126"/>
      <c r="B797" s="680"/>
    </row>
    <row r="798" spans="1:2">
      <c r="A798" s="126"/>
      <c r="B798" s="680"/>
    </row>
    <row r="799" spans="1:2">
      <c r="A799" s="126"/>
      <c r="B799" s="680"/>
    </row>
    <row r="800" spans="1:2">
      <c r="A800" s="126"/>
      <c r="B800" s="680"/>
    </row>
    <row r="801" spans="1:2">
      <c r="A801" s="126"/>
      <c r="B801" s="680"/>
    </row>
    <row r="802" spans="1:2">
      <c r="A802" s="126"/>
      <c r="B802" s="680"/>
    </row>
    <row r="803" spans="1:2">
      <c r="A803" s="126"/>
      <c r="B803" s="680"/>
    </row>
    <row r="804" spans="1:2">
      <c r="A804" s="126"/>
      <c r="B804" s="680"/>
    </row>
    <row r="805" spans="1:2">
      <c r="A805" s="126"/>
      <c r="B805" s="680"/>
    </row>
    <row r="806" spans="1:2">
      <c r="A806" s="126"/>
      <c r="B806" s="680"/>
    </row>
    <row r="807" spans="1:2">
      <c r="A807" s="126"/>
      <c r="B807" s="680"/>
    </row>
    <row r="808" spans="1:2">
      <c r="A808" s="126"/>
      <c r="B808" s="680"/>
    </row>
    <row r="809" spans="1:2">
      <c r="A809" s="126"/>
      <c r="B809" s="680"/>
    </row>
    <row r="810" spans="1:2">
      <c r="A810" s="126"/>
      <c r="B810" s="680"/>
    </row>
    <row r="811" spans="1:2">
      <c r="A811" s="126"/>
      <c r="B811" s="680"/>
    </row>
    <row r="812" spans="1:2">
      <c r="A812" s="126"/>
      <c r="B812" s="680"/>
    </row>
    <row r="813" spans="1:2">
      <c r="A813" s="126"/>
      <c r="B813" s="680"/>
    </row>
    <row r="814" spans="1:2">
      <c r="A814" s="126"/>
      <c r="B814" s="680"/>
    </row>
    <row r="815" spans="1:2">
      <c r="A815" s="126"/>
      <c r="B815" s="680"/>
    </row>
    <row r="816" spans="1:2">
      <c r="A816" s="126"/>
      <c r="B816" s="680"/>
    </row>
    <row r="817" spans="1:2">
      <c r="A817" s="126"/>
      <c r="B817" s="680"/>
    </row>
    <row r="818" spans="1:2">
      <c r="A818" s="126"/>
      <c r="B818" s="680"/>
    </row>
    <row r="819" spans="1:2">
      <c r="A819" s="126"/>
      <c r="B819" s="680"/>
    </row>
    <row r="820" spans="1:2">
      <c r="A820" s="126"/>
      <c r="B820" s="680"/>
    </row>
    <row r="821" spans="1:2">
      <c r="A821" s="126"/>
      <c r="B821" s="680"/>
    </row>
    <row r="822" spans="1:2">
      <c r="A822" s="126"/>
      <c r="B822" s="680"/>
    </row>
    <row r="823" spans="1:2">
      <c r="A823" s="126"/>
      <c r="B823" s="680"/>
    </row>
    <row r="824" spans="1:2">
      <c r="A824" s="126"/>
      <c r="B824" s="680"/>
    </row>
    <row r="825" spans="1:2">
      <c r="A825" s="126"/>
      <c r="B825" s="680"/>
    </row>
    <row r="826" spans="1:2">
      <c r="A826" s="126"/>
      <c r="B826" s="680"/>
    </row>
    <row r="827" spans="1:2">
      <c r="A827" s="126"/>
      <c r="B827" s="680"/>
    </row>
    <row r="828" spans="1:2">
      <c r="A828" s="126"/>
      <c r="B828" s="680"/>
    </row>
    <row r="829" spans="1:2">
      <c r="A829" s="126"/>
      <c r="B829" s="680"/>
    </row>
    <row r="830" spans="1:2">
      <c r="A830" s="126"/>
      <c r="B830" s="680"/>
    </row>
    <row r="831" spans="1:2">
      <c r="A831" s="126"/>
      <c r="B831" s="680"/>
    </row>
    <row r="832" spans="1:2">
      <c r="A832" s="126"/>
      <c r="B832" s="680"/>
    </row>
    <row r="833" spans="1:2">
      <c r="A833" s="126"/>
      <c r="B833" s="680"/>
    </row>
    <row r="834" spans="1:2">
      <c r="A834" s="126"/>
      <c r="B834" s="680"/>
    </row>
    <row r="835" spans="1:2">
      <c r="A835" s="126"/>
      <c r="B835" s="680"/>
    </row>
    <row r="836" spans="1:2">
      <c r="A836" s="126"/>
      <c r="B836" s="680"/>
    </row>
    <row r="837" spans="1:2">
      <c r="A837" s="126"/>
      <c r="B837" s="680"/>
    </row>
    <row r="838" spans="1:2">
      <c r="A838" s="126"/>
      <c r="B838" s="680"/>
    </row>
    <row r="839" spans="1:2">
      <c r="A839" s="126"/>
      <c r="B839" s="680"/>
    </row>
    <row r="840" spans="1:2">
      <c r="A840" s="126"/>
      <c r="B840" s="680"/>
    </row>
    <row r="841" spans="1:2">
      <c r="A841" s="126"/>
      <c r="B841" s="680"/>
    </row>
    <row r="842" spans="1:2">
      <c r="A842" s="126"/>
      <c r="B842" s="680"/>
    </row>
    <row r="843" spans="1:2">
      <c r="A843" s="126"/>
      <c r="B843" s="680"/>
    </row>
    <row r="844" spans="1:2">
      <c r="A844" s="126"/>
      <c r="B844" s="680"/>
    </row>
    <row r="845" spans="1:2">
      <c r="A845" s="126"/>
      <c r="B845" s="680"/>
    </row>
    <row r="846" spans="1:2">
      <c r="A846" s="126"/>
      <c r="B846" s="680"/>
    </row>
    <row r="847" spans="1:2">
      <c r="A847" s="126"/>
      <c r="B847" s="680"/>
    </row>
    <row r="848" spans="1:2">
      <c r="A848" s="126"/>
      <c r="B848" s="680"/>
    </row>
    <row r="849" spans="1:2">
      <c r="A849" s="126"/>
      <c r="B849" s="680"/>
    </row>
    <row r="850" spans="1:2">
      <c r="A850" s="126"/>
      <c r="B850" s="680"/>
    </row>
    <row r="851" spans="1:2">
      <c r="A851" s="126"/>
      <c r="B851" s="680"/>
    </row>
    <row r="852" spans="1:2">
      <c r="A852" s="126"/>
      <c r="B852" s="680"/>
    </row>
    <row r="853" spans="1:2">
      <c r="A853" s="126"/>
      <c r="B853" s="680"/>
    </row>
    <row r="854" spans="1:2">
      <c r="A854" s="126"/>
      <c r="B854" s="680"/>
    </row>
    <row r="855" spans="1:2">
      <c r="A855" s="126"/>
      <c r="B855" s="680"/>
    </row>
    <row r="856" spans="1:2">
      <c r="A856" s="126"/>
      <c r="B856" s="680"/>
    </row>
    <row r="857" spans="1:2">
      <c r="A857" s="126"/>
      <c r="B857" s="680"/>
    </row>
    <row r="858" spans="1:2">
      <c r="A858" s="126"/>
      <c r="B858" s="680"/>
    </row>
    <row r="859" spans="1:2">
      <c r="A859" s="126"/>
      <c r="B859" s="680"/>
    </row>
    <row r="860" spans="1:2">
      <c r="A860" s="126"/>
      <c r="B860" s="680"/>
    </row>
    <row r="861" spans="1:2">
      <c r="A861" s="126"/>
      <c r="B861" s="680"/>
    </row>
    <row r="862" spans="1:2">
      <c r="A862" s="126"/>
      <c r="B862" s="680"/>
    </row>
    <row r="863" spans="1:2">
      <c r="A863" s="126"/>
      <c r="B863" s="680"/>
    </row>
    <row r="864" spans="1:2">
      <c r="A864" s="126"/>
      <c r="B864" s="680"/>
    </row>
    <row r="865" spans="1:2">
      <c r="A865" s="126"/>
      <c r="B865" s="680"/>
    </row>
    <row r="866" spans="1:2">
      <c r="A866" s="126"/>
      <c r="B866" s="680"/>
    </row>
    <row r="867" spans="1:2">
      <c r="A867" s="126"/>
      <c r="B867" s="680"/>
    </row>
    <row r="868" spans="1:2">
      <c r="A868" s="126"/>
      <c r="B868" s="680"/>
    </row>
    <row r="869" spans="1:2">
      <c r="A869" s="126"/>
      <c r="B869" s="680"/>
    </row>
    <row r="870" spans="1:2">
      <c r="A870" s="126"/>
      <c r="B870" s="680"/>
    </row>
    <row r="871" spans="1:2">
      <c r="A871" s="126"/>
      <c r="B871" s="680"/>
    </row>
    <row r="872" spans="1:2">
      <c r="A872" s="126"/>
      <c r="B872" s="680"/>
    </row>
    <row r="873" spans="1:2">
      <c r="A873" s="126"/>
      <c r="B873" s="680"/>
    </row>
    <row r="874" spans="1:2">
      <c r="A874" s="126"/>
      <c r="B874" s="680"/>
    </row>
    <row r="875" spans="1:2">
      <c r="A875" s="126"/>
      <c r="B875" s="680"/>
    </row>
    <row r="876" spans="1:2">
      <c r="A876" s="126"/>
      <c r="B876" s="680"/>
    </row>
    <row r="877" spans="1:2">
      <c r="A877" s="126"/>
      <c r="B877" s="680"/>
    </row>
    <row r="878" spans="1:2">
      <c r="A878" s="126"/>
      <c r="B878" s="680"/>
    </row>
    <row r="879" spans="1:2">
      <c r="A879" s="126"/>
      <c r="B879" s="680"/>
    </row>
    <row r="880" spans="1:2">
      <c r="A880" s="126"/>
      <c r="B880" s="680"/>
    </row>
    <row r="881" spans="1:2">
      <c r="A881" s="126"/>
      <c r="B881" s="680"/>
    </row>
    <row r="882" spans="1:2">
      <c r="A882" s="126"/>
      <c r="B882" s="680"/>
    </row>
    <row r="883" spans="1:2">
      <c r="A883" s="126"/>
      <c r="B883" s="680"/>
    </row>
    <row r="884" spans="1:2">
      <c r="A884" s="126"/>
      <c r="B884" s="680"/>
    </row>
    <row r="885" spans="1:2">
      <c r="A885" s="126"/>
      <c r="B885" s="680"/>
    </row>
    <row r="886" spans="1:2">
      <c r="A886" s="126"/>
      <c r="B886" s="680"/>
    </row>
    <row r="887" spans="1:2">
      <c r="A887" s="126"/>
      <c r="B887" s="680"/>
    </row>
    <row r="888" spans="1:2">
      <c r="A888" s="126"/>
      <c r="B888" s="680"/>
    </row>
    <row r="889" spans="1:2">
      <c r="A889" s="126"/>
      <c r="B889" s="680"/>
    </row>
    <row r="890" spans="1:2">
      <c r="A890" s="126"/>
      <c r="B890" s="680"/>
    </row>
    <row r="891" spans="1:2">
      <c r="A891" s="126"/>
      <c r="B891" s="680"/>
    </row>
    <row r="892" spans="1:2">
      <c r="A892" s="126"/>
      <c r="B892" s="680"/>
    </row>
    <row r="893" spans="1:2">
      <c r="A893" s="126"/>
      <c r="B893" s="680"/>
    </row>
    <row r="894" spans="1:2">
      <c r="A894" s="126"/>
      <c r="B894" s="680"/>
    </row>
    <row r="895" spans="1:2">
      <c r="A895" s="126"/>
      <c r="B895" s="680"/>
    </row>
    <row r="896" spans="1:2">
      <c r="A896" s="126"/>
      <c r="B896" s="680"/>
    </row>
    <row r="897" spans="1:2">
      <c r="A897" s="126"/>
      <c r="B897" s="680"/>
    </row>
    <row r="898" spans="1:2">
      <c r="A898" s="126"/>
      <c r="B898" s="680"/>
    </row>
    <row r="899" spans="1:2">
      <c r="A899" s="126"/>
      <c r="B899" s="680"/>
    </row>
    <row r="900" spans="1:2">
      <c r="A900" s="126"/>
      <c r="B900" s="680"/>
    </row>
    <row r="901" spans="1:2">
      <c r="A901" s="126"/>
      <c r="B901" s="680"/>
    </row>
    <row r="902" spans="1:2">
      <c r="A902" s="126"/>
      <c r="B902" s="680"/>
    </row>
    <row r="903" spans="1:2">
      <c r="A903" s="126"/>
      <c r="B903" s="680"/>
    </row>
    <row r="904" spans="1:2">
      <c r="A904" s="126"/>
      <c r="B904" s="680"/>
    </row>
    <row r="905" spans="1:2">
      <c r="A905" s="126"/>
      <c r="B905" s="680"/>
    </row>
    <row r="906" spans="1:2">
      <c r="A906" s="126"/>
      <c r="B906" s="680"/>
    </row>
    <row r="907" spans="1:2">
      <c r="A907" s="126"/>
      <c r="B907" s="680"/>
    </row>
    <row r="908" spans="1:2">
      <c r="A908" s="126"/>
      <c r="B908" s="680"/>
    </row>
    <row r="909" spans="1:2">
      <c r="A909" s="126"/>
      <c r="B909" s="680"/>
    </row>
    <row r="910" spans="1:2">
      <c r="A910" s="126"/>
      <c r="B910" s="680"/>
    </row>
    <row r="911" spans="1:2">
      <c r="A911" s="126"/>
      <c r="B911" s="680"/>
    </row>
    <row r="912" spans="1:2">
      <c r="A912" s="126"/>
      <c r="B912" s="680"/>
    </row>
    <row r="913" spans="1:2">
      <c r="A913" s="126"/>
      <c r="B913" s="680"/>
    </row>
    <row r="914" spans="1:2">
      <c r="A914" s="126"/>
      <c r="B914" s="680"/>
    </row>
    <row r="915" spans="1:2">
      <c r="A915" s="126"/>
      <c r="B915" s="680"/>
    </row>
    <row r="916" spans="1:2">
      <c r="A916" s="126"/>
      <c r="B916" s="680"/>
    </row>
    <row r="917" spans="1:2">
      <c r="A917" s="126"/>
      <c r="B917" s="680"/>
    </row>
    <row r="918" spans="1:2">
      <c r="A918" s="126"/>
      <c r="B918" s="680"/>
    </row>
    <row r="919" spans="1:2">
      <c r="A919" s="126"/>
      <c r="B919" s="680"/>
    </row>
    <row r="920" spans="1:2">
      <c r="A920" s="126"/>
      <c r="B920" s="680"/>
    </row>
    <row r="921" spans="1:2">
      <c r="A921" s="126"/>
      <c r="B921" s="680"/>
    </row>
    <row r="922" spans="1:2">
      <c r="A922" s="126"/>
      <c r="B922" s="680"/>
    </row>
    <row r="923" spans="1:2">
      <c r="A923" s="126"/>
      <c r="B923" s="680"/>
    </row>
    <row r="924" spans="1:2">
      <c r="A924" s="126"/>
      <c r="B924" s="680"/>
    </row>
    <row r="925" spans="1:2">
      <c r="A925" s="126"/>
      <c r="B925" s="680"/>
    </row>
    <row r="926" spans="1:2">
      <c r="A926" s="126"/>
      <c r="B926" s="680"/>
    </row>
    <row r="927" spans="1:2">
      <c r="A927" s="126"/>
      <c r="B927" s="680"/>
    </row>
    <row r="928" spans="1:2">
      <c r="A928" s="126"/>
      <c r="B928" s="680"/>
    </row>
    <row r="929" spans="1:2">
      <c r="A929" s="126"/>
      <c r="B929" s="680"/>
    </row>
    <row r="930" spans="1:2">
      <c r="A930" s="126"/>
      <c r="B930" s="680"/>
    </row>
    <row r="931" spans="1:2">
      <c r="A931" s="126"/>
      <c r="B931" s="680"/>
    </row>
    <row r="932" spans="1:2">
      <c r="A932" s="126"/>
      <c r="B932" s="680"/>
    </row>
    <row r="933" spans="1:2">
      <c r="A933" s="126"/>
      <c r="B933" s="680"/>
    </row>
    <row r="934" spans="1:2">
      <c r="A934" s="126"/>
      <c r="B934" s="680"/>
    </row>
    <row r="935" spans="1:2">
      <c r="A935" s="126"/>
      <c r="B935" s="680"/>
    </row>
    <row r="936" spans="1:2">
      <c r="A936" s="126"/>
      <c r="B936" s="680"/>
    </row>
    <row r="937" spans="1:2">
      <c r="A937" s="126"/>
      <c r="B937" s="680"/>
    </row>
    <row r="938" spans="1:2">
      <c r="A938" s="126"/>
      <c r="B938" s="680"/>
    </row>
    <row r="939" spans="1:2">
      <c r="A939" s="126"/>
      <c r="B939" s="680"/>
    </row>
    <row r="940" spans="1:2">
      <c r="A940" s="126"/>
      <c r="B940" s="680"/>
    </row>
    <row r="941" spans="1:2">
      <c r="A941" s="126"/>
      <c r="B941" s="680"/>
    </row>
    <row r="942" spans="1:2">
      <c r="A942" s="126"/>
      <c r="B942" s="680"/>
    </row>
    <row r="943" spans="1:2">
      <c r="A943" s="126"/>
      <c r="B943" s="680"/>
    </row>
    <row r="944" spans="1:2">
      <c r="A944" s="126"/>
      <c r="B944" s="680"/>
    </row>
    <row r="945" spans="1:2">
      <c r="A945" s="126"/>
      <c r="B945" s="680"/>
    </row>
    <row r="946" spans="1:2">
      <c r="A946" s="126"/>
      <c r="B946" s="680"/>
    </row>
    <row r="947" spans="1:2">
      <c r="A947" s="126"/>
      <c r="B947" s="680"/>
    </row>
    <row r="948" spans="1:2">
      <c r="A948" s="126"/>
      <c r="B948" s="680"/>
    </row>
    <row r="949" spans="1:2">
      <c r="A949" s="126"/>
      <c r="B949" s="680"/>
    </row>
    <row r="950" spans="1:2">
      <c r="A950" s="126"/>
      <c r="B950" s="680"/>
    </row>
    <row r="951" spans="1:2">
      <c r="A951" s="126"/>
      <c r="B951" s="680"/>
    </row>
    <row r="952" spans="1:2">
      <c r="A952" s="126"/>
      <c r="B952" s="680"/>
    </row>
    <row r="953" spans="1:2">
      <c r="A953" s="126"/>
      <c r="B953" s="680"/>
    </row>
    <row r="954" spans="1:2">
      <c r="A954" s="126"/>
      <c r="B954" s="680"/>
    </row>
    <row r="955" spans="1:2">
      <c r="A955" s="126"/>
      <c r="B955" s="680"/>
    </row>
    <row r="956" spans="1:2">
      <c r="A956" s="126"/>
      <c r="B956" s="680"/>
    </row>
    <row r="957" spans="1:2">
      <c r="A957" s="126"/>
      <c r="B957" s="680"/>
    </row>
    <row r="958" spans="1:2">
      <c r="A958" s="126"/>
      <c r="B958" s="680"/>
    </row>
    <row r="959" spans="1:2">
      <c r="A959" s="126"/>
      <c r="B959" s="680"/>
    </row>
    <row r="960" spans="1:2">
      <c r="A960" s="126"/>
      <c r="B960" s="680"/>
    </row>
    <row r="961" spans="1:2">
      <c r="A961" s="126"/>
      <c r="B961" s="680"/>
    </row>
    <row r="962" spans="1:2">
      <c r="A962" s="126"/>
      <c r="B962" s="680"/>
    </row>
    <row r="963" spans="1:2">
      <c r="A963" s="126"/>
      <c r="B963" s="680"/>
    </row>
    <row r="964" spans="1:2">
      <c r="A964" s="126"/>
      <c r="B964" s="680"/>
    </row>
    <row r="965" spans="1:2">
      <c r="A965" s="126"/>
      <c r="B965" s="680"/>
    </row>
    <row r="966" spans="1:2">
      <c r="A966" s="126"/>
      <c r="B966" s="680"/>
    </row>
    <row r="967" spans="1:2">
      <c r="A967" s="126"/>
      <c r="B967" s="680"/>
    </row>
    <row r="968" spans="1:2">
      <c r="A968" s="126"/>
      <c r="B968" s="680"/>
    </row>
    <row r="969" spans="1:2">
      <c r="A969" s="126"/>
      <c r="B969" s="680"/>
    </row>
    <row r="970" spans="1:2">
      <c r="A970" s="126"/>
      <c r="B970" s="680"/>
    </row>
    <row r="971" spans="1:2">
      <c r="A971" s="126"/>
      <c r="B971" s="680"/>
    </row>
    <row r="972" spans="1:2">
      <c r="A972" s="126"/>
      <c r="B972" s="680"/>
    </row>
    <row r="973" spans="1:2">
      <c r="A973" s="126"/>
      <c r="B973" s="680"/>
    </row>
    <row r="974" spans="1:2">
      <c r="A974" s="126"/>
      <c r="B974" s="680"/>
    </row>
    <row r="975" spans="1:2">
      <c r="A975" s="126"/>
      <c r="B975" s="680"/>
    </row>
    <row r="976" spans="1:2">
      <c r="A976" s="126"/>
      <c r="B976" s="680"/>
    </row>
    <row r="977" spans="1:2">
      <c r="A977" s="126"/>
      <c r="B977" s="680"/>
    </row>
    <row r="978" spans="1:2">
      <c r="A978" s="126"/>
      <c r="B978" s="680"/>
    </row>
    <row r="979" spans="1:2">
      <c r="A979" s="126"/>
      <c r="B979" s="680"/>
    </row>
    <row r="980" spans="1:2">
      <c r="A980" s="126"/>
      <c r="B980" s="680"/>
    </row>
    <row r="981" spans="1:2">
      <c r="A981" s="126"/>
      <c r="B981" s="680"/>
    </row>
    <row r="982" spans="1:2">
      <c r="A982" s="126"/>
      <c r="B982" s="680"/>
    </row>
    <row r="983" spans="1:2">
      <c r="A983" s="126"/>
      <c r="B983" s="680"/>
    </row>
    <row r="984" spans="1:2">
      <c r="A984" s="126"/>
      <c r="B984" s="680"/>
    </row>
    <row r="985" spans="1:2">
      <c r="A985" s="126"/>
      <c r="B985" s="680"/>
    </row>
    <row r="986" spans="1:2">
      <c r="A986" s="126"/>
      <c r="B986" s="680"/>
    </row>
    <row r="987" spans="1:2">
      <c r="A987" s="126"/>
      <c r="B987" s="680"/>
    </row>
    <row r="988" spans="1:2">
      <c r="A988" s="126"/>
      <c r="B988" s="680"/>
    </row>
    <row r="989" spans="1:2">
      <c r="A989" s="126"/>
      <c r="B989" s="680"/>
    </row>
    <row r="990" spans="1:2">
      <c r="A990" s="126"/>
      <c r="B990" s="680"/>
    </row>
    <row r="991" spans="1:2">
      <c r="A991" s="126"/>
      <c r="B991" s="680"/>
    </row>
    <row r="992" spans="1:2">
      <c r="A992" s="126"/>
      <c r="B992" s="680"/>
    </row>
    <row r="993" spans="1:2">
      <c r="A993" s="126"/>
      <c r="B993" s="680"/>
    </row>
    <row r="994" spans="1:2">
      <c r="A994" s="126"/>
      <c r="B994" s="680"/>
    </row>
    <row r="995" spans="1:2">
      <c r="A995" s="126"/>
      <c r="B995" s="680"/>
    </row>
    <row r="996" spans="1:2">
      <c r="A996" s="126"/>
      <c r="B996" s="680"/>
    </row>
    <row r="997" spans="1:2">
      <c r="A997" s="126"/>
      <c r="B997" s="680"/>
    </row>
    <row r="998" spans="1:2">
      <c r="A998" s="126"/>
      <c r="B998" s="680"/>
    </row>
    <row r="999" spans="1:2">
      <c r="A999" s="126"/>
      <c r="B999" s="680"/>
    </row>
    <row r="1000" spans="1:2">
      <c r="A1000" s="126"/>
      <c r="B1000" s="680"/>
    </row>
    <row r="1001" spans="1:2">
      <c r="A1001" s="126"/>
      <c r="B1001" s="680"/>
    </row>
    <row r="1002" spans="1:2">
      <c r="A1002" s="126"/>
      <c r="B1002" s="680"/>
    </row>
    <row r="1003" spans="1:2">
      <c r="A1003" s="126"/>
      <c r="B1003" s="680"/>
    </row>
    <row r="1004" spans="1:2">
      <c r="A1004" s="126"/>
      <c r="B1004" s="680"/>
    </row>
    <row r="1005" spans="1:2">
      <c r="A1005" s="126"/>
      <c r="B1005" s="680"/>
    </row>
    <row r="1006" spans="1:2">
      <c r="A1006" s="126"/>
      <c r="B1006" s="680"/>
    </row>
    <row r="1007" spans="1:2">
      <c r="A1007" s="126"/>
      <c r="B1007" s="680"/>
    </row>
    <row r="1008" spans="1:2">
      <c r="A1008" s="126"/>
      <c r="B1008" s="680"/>
    </row>
    <row r="1009" spans="1:2">
      <c r="A1009" s="126"/>
      <c r="B1009" s="680"/>
    </row>
    <row r="1010" spans="1:2">
      <c r="A1010" s="126"/>
      <c r="B1010" s="680"/>
    </row>
    <row r="1011" spans="1:2">
      <c r="A1011" s="126"/>
      <c r="B1011" s="680"/>
    </row>
    <row r="1012" spans="1:2">
      <c r="A1012" s="126"/>
      <c r="B1012" s="680"/>
    </row>
    <row r="1013" spans="1:2">
      <c r="A1013" s="126"/>
      <c r="B1013" s="680"/>
    </row>
    <row r="1014" spans="1:2">
      <c r="A1014" s="126"/>
      <c r="B1014" s="680"/>
    </row>
    <row r="1015" spans="1:2">
      <c r="A1015" s="126"/>
      <c r="B1015" s="680"/>
    </row>
    <row r="1016" spans="1:2">
      <c r="A1016" s="126"/>
      <c r="B1016" s="680"/>
    </row>
    <row r="1017" spans="1:2">
      <c r="A1017" s="126"/>
      <c r="B1017" s="680"/>
    </row>
    <row r="1018" spans="1:2">
      <c r="A1018" s="126"/>
      <c r="B1018" s="680"/>
    </row>
    <row r="1019" spans="1:2">
      <c r="A1019" s="126"/>
      <c r="B1019" s="680"/>
    </row>
    <row r="1020" spans="1:2">
      <c r="A1020" s="126"/>
      <c r="B1020" s="680"/>
    </row>
    <row r="1021" spans="1:2">
      <c r="A1021" s="126"/>
      <c r="B1021" s="680"/>
    </row>
    <row r="1022" spans="1:2">
      <c r="A1022" s="126"/>
      <c r="B1022" s="680"/>
    </row>
    <row r="1023" spans="1:2">
      <c r="A1023" s="126"/>
      <c r="B1023" s="680"/>
    </row>
    <row r="1024" spans="1:2">
      <c r="A1024" s="126"/>
      <c r="B1024" s="680"/>
    </row>
    <row r="1025" spans="1:2">
      <c r="A1025" s="126"/>
      <c r="B1025" s="680"/>
    </row>
    <row r="1026" spans="1:2">
      <c r="A1026" s="126"/>
      <c r="B1026" s="680"/>
    </row>
    <row r="1027" spans="1:2">
      <c r="A1027" s="126"/>
      <c r="B1027" s="680"/>
    </row>
    <row r="1028" spans="1:2">
      <c r="A1028" s="126"/>
      <c r="B1028" s="680"/>
    </row>
    <row r="1029" spans="1:2">
      <c r="A1029" s="126"/>
      <c r="B1029" s="680"/>
    </row>
    <row r="1030" spans="1:2">
      <c r="A1030" s="126"/>
      <c r="B1030" s="680"/>
    </row>
    <row r="1031" spans="1:2">
      <c r="A1031" s="126"/>
      <c r="B1031" s="680"/>
    </row>
    <row r="1032" spans="1:2">
      <c r="A1032" s="126"/>
      <c r="B1032" s="680"/>
    </row>
    <row r="1033" spans="1:2">
      <c r="A1033" s="126"/>
      <c r="B1033" s="680"/>
    </row>
    <row r="1034" spans="1:2">
      <c r="A1034" s="126"/>
      <c r="B1034" s="680"/>
    </row>
    <row r="1035" spans="1:2">
      <c r="A1035" s="126"/>
      <c r="B1035" s="680"/>
    </row>
    <row r="1036" spans="1:2">
      <c r="A1036" s="126"/>
      <c r="B1036" s="680"/>
    </row>
    <row r="1037" spans="1:2">
      <c r="A1037" s="126"/>
      <c r="B1037" s="680"/>
    </row>
    <row r="1038" spans="1:2">
      <c r="A1038" s="126"/>
      <c r="B1038" s="680"/>
    </row>
    <row r="1039" spans="1:2">
      <c r="A1039" s="126"/>
      <c r="B1039" s="680"/>
    </row>
    <row r="1040" spans="1:2">
      <c r="A1040" s="126"/>
      <c r="B1040" s="680"/>
    </row>
    <row r="1041" spans="1:2">
      <c r="A1041" s="126"/>
      <c r="B1041" s="680"/>
    </row>
    <row r="1042" spans="1:2">
      <c r="A1042" s="126"/>
      <c r="B1042" s="680"/>
    </row>
    <row r="1043" spans="1:2">
      <c r="A1043" s="126"/>
      <c r="B1043" s="680"/>
    </row>
    <row r="1044" spans="1:2">
      <c r="A1044" s="126"/>
      <c r="B1044" s="680"/>
    </row>
    <row r="1045" spans="1:2">
      <c r="A1045" s="126"/>
      <c r="B1045" s="680"/>
    </row>
    <row r="1046" spans="1:2">
      <c r="A1046" s="126"/>
      <c r="B1046" s="680"/>
    </row>
    <row r="1047" spans="1:2">
      <c r="A1047" s="126"/>
      <c r="B1047" s="680"/>
    </row>
    <row r="1048" spans="1:2">
      <c r="A1048" s="126"/>
      <c r="B1048" s="680"/>
    </row>
    <row r="1049" spans="1:2">
      <c r="A1049" s="126"/>
      <c r="B1049" s="680"/>
    </row>
    <row r="1050" spans="1:2">
      <c r="A1050" s="126"/>
      <c r="B1050" s="680"/>
    </row>
    <row r="1051" spans="1:2">
      <c r="A1051" s="126"/>
      <c r="B1051" s="680"/>
    </row>
    <row r="1052" spans="1:2">
      <c r="A1052" s="126"/>
      <c r="B1052" s="680"/>
    </row>
    <row r="1053" spans="1:2">
      <c r="A1053" s="126"/>
      <c r="B1053" s="680"/>
    </row>
    <row r="1054" spans="1:2">
      <c r="A1054" s="126"/>
      <c r="B1054" s="680"/>
    </row>
    <row r="1055" spans="1:2">
      <c r="A1055" s="126"/>
      <c r="B1055" s="680"/>
    </row>
    <row r="1056" spans="1:2">
      <c r="A1056" s="126"/>
      <c r="B1056" s="680"/>
    </row>
    <row r="1057" spans="1:2">
      <c r="A1057" s="126"/>
      <c r="B1057" s="680"/>
    </row>
    <row r="1058" spans="1:2">
      <c r="A1058" s="126"/>
      <c r="B1058" s="680"/>
    </row>
    <row r="1059" spans="1:2">
      <c r="A1059" s="126"/>
      <c r="B1059" s="680"/>
    </row>
    <row r="1060" spans="1:2">
      <c r="A1060" s="126"/>
      <c r="B1060" s="680"/>
    </row>
    <row r="1061" spans="1:2">
      <c r="A1061" s="126"/>
      <c r="B1061" s="680"/>
    </row>
    <row r="1062" spans="1:2">
      <c r="A1062" s="126"/>
      <c r="B1062" s="680"/>
    </row>
    <row r="1063" spans="1:2">
      <c r="A1063" s="126"/>
      <c r="B1063" s="680"/>
    </row>
    <row r="1064" spans="1:2">
      <c r="A1064" s="126"/>
      <c r="B1064" s="680"/>
    </row>
    <row r="1065" spans="1:2">
      <c r="A1065" s="126"/>
      <c r="B1065" s="680"/>
    </row>
    <row r="1066" spans="1:2">
      <c r="A1066" s="126"/>
      <c r="B1066" s="680"/>
    </row>
    <row r="1067" spans="1:2">
      <c r="A1067" s="126"/>
      <c r="B1067" s="680"/>
    </row>
    <row r="1068" spans="1:2">
      <c r="A1068" s="126"/>
      <c r="B1068" s="680"/>
    </row>
    <row r="1069" spans="1:2">
      <c r="A1069" s="126"/>
      <c r="B1069" s="680"/>
    </row>
    <row r="1070" spans="1:2">
      <c r="A1070" s="126"/>
      <c r="B1070" s="680"/>
    </row>
    <row r="1071" spans="1:2">
      <c r="A1071" s="126"/>
      <c r="B1071" s="680"/>
    </row>
    <row r="1072" spans="1:2">
      <c r="A1072" s="126"/>
      <c r="B1072" s="680"/>
    </row>
    <row r="1073" spans="1:2">
      <c r="A1073" s="126"/>
      <c r="B1073" s="680"/>
    </row>
    <row r="1074" spans="1:2">
      <c r="A1074" s="126"/>
      <c r="B1074" s="680"/>
    </row>
    <row r="1075" spans="1:2">
      <c r="A1075" s="126"/>
      <c r="B1075" s="680"/>
    </row>
    <row r="1076" spans="1:2">
      <c r="A1076" s="126"/>
      <c r="B1076" s="680"/>
    </row>
    <row r="1077" spans="1:2">
      <c r="A1077" s="126"/>
      <c r="B1077" s="680"/>
    </row>
    <row r="1078" spans="1:2">
      <c r="A1078" s="126"/>
      <c r="B1078" s="680"/>
    </row>
    <row r="1079" spans="1:2">
      <c r="A1079" s="126"/>
      <c r="B1079" s="680"/>
    </row>
    <row r="1080" spans="1:2">
      <c r="A1080" s="126"/>
      <c r="B1080" s="680"/>
    </row>
    <row r="1081" spans="1:2">
      <c r="A1081" s="126"/>
      <c r="B1081" s="680"/>
    </row>
    <row r="1082" spans="1:2">
      <c r="A1082" s="126"/>
      <c r="B1082" s="680"/>
    </row>
    <row r="1083" spans="1:2">
      <c r="A1083" s="126"/>
      <c r="B1083" s="680"/>
    </row>
    <row r="1084" spans="1:2">
      <c r="A1084" s="126"/>
      <c r="B1084" s="680"/>
    </row>
    <row r="1085" spans="1:2">
      <c r="A1085" s="126"/>
      <c r="B1085" s="680"/>
    </row>
    <row r="1086" spans="1:2">
      <c r="A1086" s="126"/>
      <c r="B1086" s="680"/>
    </row>
    <row r="1087" spans="1:2">
      <c r="A1087" s="126"/>
      <c r="B1087" s="680"/>
    </row>
    <row r="1088" spans="1:2">
      <c r="A1088" s="126"/>
      <c r="B1088" s="680"/>
    </row>
    <row r="1089" spans="1:2">
      <c r="A1089" s="126"/>
      <c r="B1089" s="680"/>
    </row>
    <row r="1090" spans="1:2">
      <c r="A1090" s="126"/>
      <c r="B1090" s="680"/>
    </row>
    <row r="1091" spans="1:2">
      <c r="A1091" s="126"/>
      <c r="B1091" s="680"/>
    </row>
    <row r="1092" spans="1:2">
      <c r="A1092" s="126"/>
      <c r="B1092" s="680"/>
    </row>
    <row r="1093" spans="1:2">
      <c r="A1093" s="126"/>
      <c r="B1093" s="680"/>
    </row>
    <row r="1094" spans="1:2">
      <c r="A1094" s="126"/>
      <c r="B1094" s="680"/>
    </row>
    <row r="1095" spans="1:2">
      <c r="A1095" s="126"/>
      <c r="B1095" s="680"/>
    </row>
    <row r="1096" spans="1:2">
      <c r="A1096" s="126"/>
      <c r="B1096" s="680"/>
    </row>
    <row r="1097" spans="1:2">
      <c r="A1097" s="126"/>
      <c r="B1097" s="680"/>
    </row>
    <row r="1098" spans="1:2">
      <c r="A1098" s="126"/>
      <c r="B1098" s="680"/>
    </row>
    <row r="1099" spans="1:2">
      <c r="A1099" s="126"/>
      <c r="B1099" s="680"/>
    </row>
    <row r="1100" spans="1:2">
      <c r="A1100" s="126"/>
      <c r="B1100" s="680"/>
    </row>
    <row r="1101" spans="1:2">
      <c r="A1101" s="126"/>
      <c r="B1101" s="680"/>
    </row>
    <row r="1102" spans="1:2">
      <c r="A1102" s="126"/>
      <c r="B1102" s="680"/>
    </row>
    <row r="1103" spans="1:2">
      <c r="A1103" s="126"/>
      <c r="B1103" s="680"/>
    </row>
    <row r="1104" spans="1:2">
      <c r="A1104" s="126"/>
      <c r="B1104" s="680"/>
    </row>
    <row r="1105" spans="1:2">
      <c r="A1105" s="126"/>
      <c r="B1105" s="680"/>
    </row>
    <row r="1106" spans="1:2">
      <c r="A1106" s="126"/>
      <c r="B1106" s="680"/>
    </row>
    <row r="1107" spans="1:2">
      <c r="A1107" s="126"/>
      <c r="B1107" s="680"/>
    </row>
    <row r="1108" spans="1:2">
      <c r="A1108" s="126"/>
      <c r="B1108" s="680"/>
    </row>
    <row r="1109" spans="1:2">
      <c r="A1109" s="126"/>
      <c r="B1109" s="680"/>
    </row>
    <row r="1110" spans="1:2">
      <c r="A1110" s="126"/>
      <c r="B1110" s="680"/>
    </row>
    <row r="1111" spans="1:2">
      <c r="A1111" s="126"/>
      <c r="B1111" s="680"/>
    </row>
    <row r="1112" spans="1:2">
      <c r="A1112" s="126"/>
      <c r="B1112" s="680"/>
    </row>
    <row r="1113" spans="1:2">
      <c r="A1113" s="126"/>
      <c r="B1113" s="680"/>
    </row>
    <row r="1114" spans="1:2">
      <c r="A1114" s="126"/>
      <c r="B1114" s="680"/>
    </row>
    <row r="1115" spans="1:2">
      <c r="A1115" s="126"/>
      <c r="B1115" s="680"/>
    </row>
    <row r="1116" spans="1:2">
      <c r="A1116" s="126"/>
      <c r="B1116" s="680"/>
    </row>
    <row r="1117" spans="1:2">
      <c r="A1117" s="126"/>
      <c r="B1117" s="680"/>
    </row>
    <row r="1118" spans="1:2">
      <c r="A1118" s="126"/>
      <c r="B1118" s="680"/>
    </row>
    <row r="1119" spans="1:2">
      <c r="A1119" s="126"/>
      <c r="B1119" s="680"/>
    </row>
    <row r="1120" spans="1:2">
      <c r="A1120" s="126"/>
      <c r="B1120" s="680"/>
    </row>
    <row r="1121" spans="1:2">
      <c r="A1121" s="126"/>
      <c r="B1121" s="680"/>
    </row>
    <row r="1122" spans="1:2">
      <c r="A1122" s="126"/>
      <c r="B1122" s="680"/>
    </row>
    <row r="1123" spans="1:2">
      <c r="A1123" s="126"/>
      <c r="B1123" s="680"/>
    </row>
    <row r="1124" spans="1:2">
      <c r="A1124" s="126"/>
      <c r="B1124" s="680"/>
    </row>
    <row r="1125" spans="1:2">
      <c r="A1125" s="126"/>
      <c r="B1125" s="680"/>
    </row>
    <row r="1126" spans="1:2">
      <c r="A1126" s="126"/>
      <c r="B1126" s="680"/>
    </row>
    <row r="1127" spans="1:2">
      <c r="A1127" s="126"/>
      <c r="B1127" s="680"/>
    </row>
    <row r="1128" spans="1:2">
      <c r="A1128" s="126"/>
      <c r="B1128" s="680"/>
    </row>
    <row r="1129" spans="1:2">
      <c r="A1129" s="126"/>
      <c r="B1129" s="680"/>
    </row>
    <row r="1130" spans="1:2">
      <c r="A1130" s="126"/>
      <c r="B1130" s="680"/>
    </row>
    <row r="1131" spans="1:2">
      <c r="A1131" s="126"/>
      <c r="B1131" s="680"/>
    </row>
    <row r="1132" spans="1:2">
      <c r="A1132" s="126"/>
      <c r="B1132" s="680"/>
    </row>
    <row r="1133" spans="1:2">
      <c r="A1133" s="126"/>
      <c r="B1133" s="680"/>
    </row>
    <row r="1134" spans="1:2">
      <c r="A1134" s="126"/>
      <c r="B1134" s="680"/>
    </row>
    <row r="1135" spans="1:2">
      <c r="A1135" s="126"/>
      <c r="B1135" s="680"/>
    </row>
    <row r="1136" spans="1:2">
      <c r="A1136" s="126"/>
      <c r="B1136" s="680"/>
    </row>
    <row r="1137" spans="1:2">
      <c r="A1137" s="126"/>
      <c r="B1137" s="680"/>
    </row>
    <row r="1138" spans="1:2">
      <c r="A1138" s="126"/>
      <c r="B1138" s="680"/>
    </row>
    <row r="1139" spans="1:2">
      <c r="A1139" s="126"/>
      <c r="B1139" s="680"/>
    </row>
    <row r="1140" spans="1:2">
      <c r="A1140" s="126"/>
      <c r="B1140" s="680"/>
    </row>
    <row r="1141" spans="1:2">
      <c r="A1141" s="126"/>
      <c r="B1141" s="680"/>
    </row>
    <row r="1142" spans="1:2">
      <c r="A1142" s="126"/>
      <c r="B1142" s="680"/>
    </row>
    <row r="1143" spans="1:2">
      <c r="A1143" s="126"/>
      <c r="B1143" s="680"/>
    </row>
    <row r="1144" spans="1:2">
      <c r="A1144" s="126"/>
      <c r="B1144" s="680"/>
    </row>
    <row r="1145" spans="1:2">
      <c r="A1145" s="126"/>
      <c r="B1145" s="680"/>
    </row>
    <row r="1146" spans="1:2">
      <c r="A1146" s="126"/>
      <c r="B1146" s="680"/>
    </row>
    <row r="1147" spans="1:2">
      <c r="A1147" s="126"/>
      <c r="B1147" s="680"/>
    </row>
    <row r="1148" spans="1:2">
      <c r="A1148" s="126"/>
      <c r="B1148" s="680"/>
    </row>
    <row r="1149" spans="1:2">
      <c r="A1149" s="126"/>
      <c r="B1149" s="680"/>
    </row>
    <row r="1150" spans="1:2">
      <c r="A1150" s="126"/>
      <c r="B1150" s="680"/>
    </row>
    <row r="1151" spans="1:2">
      <c r="A1151" s="126"/>
      <c r="B1151" s="680"/>
    </row>
    <row r="1152" spans="1:2">
      <c r="A1152" s="126"/>
      <c r="B1152" s="680"/>
    </row>
    <row r="1153" spans="1:2">
      <c r="A1153" s="126"/>
      <c r="B1153" s="680"/>
    </row>
    <row r="1154" spans="1:2">
      <c r="A1154" s="126"/>
      <c r="B1154" s="680"/>
    </row>
    <row r="1155" spans="1:2">
      <c r="A1155" s="126"/>
      <c r="B1155" s="680"/>
    </row>
    <row r="1156" spans="1:2">
      <c r="A1156" s="126"/>
      <c r="B1156" s="680"/>
    </row>
    <row r="1157" spans="1:2">
      <c r="A1157" s="126"/>
      <c r="B1157" s="680"/>
    </row>
    <row r="1158" spans="1:2">
      <c r="A1158" s="126"/>
      <c r="B1158" s="680"/>
    </row>
    <row r="1159" spans="1:2">
      <c r="A1159" s="126"/>
      <c r="B1159" s="680"/>
    </row>
    <row r="1160" spans="1:2">
      <c r="A1160" s="126"/>
      <c r="B1160" s="680"/>
    </row>
    <row r="1161" spans="1:2">
      <c r="A1161" s="126"/>
      <c r="B1161" s="680"/>
    </row>
    <row r="1162" spans="1:2">
      <c r="A1162" s="126"/>
      <c r="B1162" s="680"/>
    </row>
    <row r="1163" spans="1:2">
      <c r="A1163" s="126"/>
      <c r="B1163" s="680"/>
    </row>
    <row r="1164" spans="1:2">
      <c r="A1164" s="126"/>
      <c r="B1164" s="680"/>
    </row>
    <row r="1165" spans="1:2">
      <c r="A1165" s="126"/>
      <c r="B1165" s="680"/>
    </row>
    <row r="1166" spans="1:2">
      <c r="A1166" s="126"/>
      <c r="B1166" s="680"/>
    </row>
    <row r="1167" spans="1:2">
      <c r="A1167" s="126"/>
      <c r="B1167" s="680"/>
    </row>
    <row r="1168" spans="1:2">
      <c r="A1168" s="126"/>
      <c r="B1168" s="680"/>
    </row>
    <row r="1169" spans="1:2">
      <c r="A1169" s="126"/>
      <c r="B1169" s="680"/>
    </row>
    <row r="1170" spans="1:2">
      <c r="A1170" s="126"/>
      <c r="B1170" s="680"/>
    </row>
    <row r="1171" spans="1:2">
      <c r="A1171" s="126"/>
      <c r="B1171" s="680"/>
    </row>
    <row r="1172" spans="1:2">
      <c r="A1172" s="126"/>
      <c r="B1172" s="680"/>
    </row>
    <row r="1173" spans="1:2">
      <c r="A1173" s="126"/>
      <c r="B1173" s="680"/>
    </row>
    <row r="1174" spans="1:2">
      <c r="A1174" s="126"/>
      <c r="B1174" s="680"/>
    </row>
    <row r="1175" spans="1:2">
      <c r="A1175" s="126"/>
      <c r="B1175" s="680"/>
    </row>
    <row r="1176" spans="1:2">
      <c r="A1176" s="126"/>
      <c r="B1176" s="680"/>
    </row>
    <row r="1177" spans="1:2">
      <c r="A1177" s="126"/>
      <c r="B1177" s="680"/>
    </row>
    <row r="1178" spans="1:2">
      <c r="A1178" s="126"/>
      <c r="B1178" s="680"/>
    </row>
    <row r="1179" spans="1:2">
      <c r="A1179" s="126"/>
      <c r="B1179" s="680"/>
    </row>
    <row r="1180" spans="1:2">
      <c r="A1180" s="126"/>
      <c r="B1180" s="680"/>
    </row>
    <row r="1181" spans="1:2">
      <c r="A1181" s="126"/>
      <c r="B1181" s="680"/>
    </row>
    <row r="1182" spans="1:2">
      <c r="A1182" s="126"/>
      <c r="B1182" s="680"/>
    </row>
    <row r="1183" spans="1:2">
      <c r="A1183" s="126"/>
      <c r="B1183" s="680"/>
    </row>
    <row r="1184" spans="1:2">
      <c r="A1184" s="126"/>
      <c r="B1184" s="680"/>
    </row>
    <row r="1185" spans="1:2">
      <c r="A1185" s="126"/>
      <c r="B1185" s="680"/>
    </row>
    <row r="1186" spans="1:2">
      <c r="A1186" s="126"/>
      <c r="B1186" s="680"/>
    </row>
    <row r="1187" spans="1:2">
      <c r="A1187" s="126"/>
      <c r="B1187" s="680"/>
    </row>
    <row r="1188" spans="1:2">
      <c r="A1188" s="126"/>
      <c r="B1188" s="680"/>
    </row>
    <row r="1189" spans="1:2">
      <c r="A1189" s="126"/>
      <c r="B1189" s="680"/>
    </row>
    <row r="1190" spans="1:2">
      <c r="A1190" s="126"/>
      <c r="B1190" s="680"/>
    </row>
    <row r="1191" spans="1:2">
      <c r="A1191" s="126"/>
      <c r="B1191" s="680"/>
    </row>
    <row r="1192" spans="1:2">
      <c r="A1192" s="126"/>
      <c r="B1192" s="680"/>
    </row>
    <row r="1193" spans="1:2">
      <c r="A1193" s="126"/>
      <c r="B1193" s="680"/>
    </row>
    <row r="1194" spans="1:2">
      <c r="A1194" s="126"/>
      <c r="B1194" s="680"/>
    </row>
    <row r="1195" spans="1:2">
      <c r="A1195" s="126"/>
      <c r="B1195" s="680"/>
    </row>
    <row r="1196" spans="1:2">
      <c r="A1196" s="126"/>
      <c r="B1196" s="680"/>
    </row>
    <row r="1197" spans="1:2">
      <c r="A1197" s="126"/>
      <c r="B1197" s="680"/>
    </row>
    <row r="1198" spans="1:2">
      <c r="A1198" s="126"/>
      <c r="B1198" s="680"/>
    </row>
    <row r="1199" spans="1:2">
      <c r="A1199" s="126"/>
      <c r="B1199" s="680"/>
    </row>
    <row r="1200" spans="1:2">
      <c r="A1200" s="126"/>
      <c r="B1200" s="680"/>
    </row>
    <row r="1201" spans="1:2">
      <c r="A1201" s="126"/>
      <c r="B1201" s="680"/>
    </row>
    <row r="1202" spans="1:2">
      <c r="A1202" s="126"/>
      <c r="B1202" s="680"/>
    </row>
    <row r="1203" spans="1:2">
      <c r="A1203" s="126"/>
      <c r="B1203" s="680"/>
    </row>
    <row r="1204" spans="1:2">
      <c r="A1204" s="126"/>
      <c r="B1204" s="680"/>
    </row>
    <row r="1205" spans="1:2">
      <c r="A1205" s="126"/>
      <c r="B1205" s="680"/>
    </row>
    <row r="1206" spans="1:2">
      <c r="A1206" s="126"/>
      <c r="B1206" s="680"/>
    </row>
    <row r="1207" spans="1:2">
      <c r="A1207" s="126"/>
      <c r="B1207" s="680"/>
    </row>
    <row r="1208" spans="1:2">
      <c r="A1208" s="126"/>
      <c r="B1208" s="680"/>
    </row>
    <row r="1209" spans="1:2">
      <c r="A1209" s="126"/>
      <c r="B1209" s="680"/>
    </row>
    <row r="1210" spans="1:2">
      <c r="A1210" s="126"/>
      <c r="B1210" s="680"/>
    </row>
    <row r="1211" spans="1:2">
      <c r="A1211" s="126"/>
      <c r="B1211" s="680"/>
    </row>
    <row r="1212" spans="1:2">
      <c r="A1212" s="126"/>
      <c r="B1212" s="680"/>
    </row>
    <row r="1213" spans="1:2">
      <c r="A1213" s="126"/>
      <c r="B1213" s="680"/>
    </row>
    <row r="1214" spans="1:2">
      <c r="A1214" s="126"/>
      <c r="B1214" s="680"/>
    </row>
    <row r="1215" spans="1:2">
      <c r="A1215" s="126"/>
      <c r="B1215" s="680"/>
    </row>
    <row r="1216" spans="1:2">
      <c r="A1216" s="126"/>
      <c r="B1216" s="680"/>
    </row>
    <row r="1217" spans="1:2">
      <c r="A1217" s="126"/>
      <c r="B1217" s="680"/>
    </row>
    <row r="1218" spans="1:2">
      <c r="A1218" s="126"/>
      <c r="B1218" s="680"/>
    </row>
    <row r="1219" spans="1:2">
      <c r="A1219" s="126"/>
      <c r="B1219" s="680"/>
    </row>
    <row r="1220" spans="1:2">
      <c r="A1220" s="126"/>
      <c r="B1220" s="680"/>
    </row>
    <row r="1221" spans="1:2">
      <c r="A1221" s="126"/>
      <c r="B1221" s="680"/>
    </row>
    <row r="1222" spans="1:2">
      <c r="A1222" s="126"/>
      <c r="B1222" s="680"/>
    </row>
    <row r="1223" spans="1:2">
      <c r="A1223" s="126"/>
      <c r="B1223" s="680"/>
    </row>
    <row r="1224" spans="1:2">
      <c r="A1224" s="126"/>
      <c r="B1224" s="680"/>
    </row>
    <row r="1225" spans="1:2">
      <c r="A1225" s="126"/>
      <c r="B1225" s="680"/>
    </row>
    <row r="1226" spans="1:2">
      <c r="A1226" s="126"/>
      <c r="B1226" s="680"/>
    </row>
    <row r="1227" spans="1:2">
      <c r="A1227" s="126"/>
      <c r="B1227" s="680"/>
    </row>
    <row r="1228" spans="1:2">
      <c r="A1228" s="126"/>
      <c r="B1228" s="680"/>
    </row>
    <row r="1229" spans="1:2">
      <c r="A1229" s="126"/>
      <c r="B1229" s="680"/>
    </row>
    <row r="1230" spans="1:2">
      <c r="A1230" s="126"/>
      <c r="B1230" s="680"/>
    </row>
    <row r="1231" spans="1:2">
      <c r="A1231" s="126"/>
      <c r="B1231" s="680"/>
    </row>
    <row r="1232" spans="1:2">
      <c r="A1232" s="126"/>
      <c r="B1232" s="680"/>
    </row>
    <row r="1233" spans="1:2">
      <c r="A1233" s="126"/>
      <c r="B1233" s="680"/>
    </row>
    <row r="1234" spans="1:2">
      <c r="A1234" s="126"/>
      <c r="B1234" s="680"/>
    </row>
    <row r="1235" spans="1:2">
      <c r="A1235" s="126"/>
      <c r="B1235" s="680"/>
    </row>
    <row r="1236" spans="1:2">
      <c r="A1236" s="126"/>
      <c r="B1236" s="680"/>
    </row>
    <row r="1237" spans="1:2">
      <c r="A1237" s="126"/>
      <c r="B1237" s="680"/>
    </row>
    <row r="1238" spans="1:2">
      <c r="A1238" s="126"/>
      <c r="B1238" s="680"/>
    </row>
    <row r="1239" spans="1:2">
      <c r="A1239" s="126"/>
      <c r="B1239" s="680"/>
    </row>
    <row r="1240" spans="1:2">
      <c r="A1240" s="126"/>
      <c r="B1240" s="680"/>
    </row>
    <row r="1241" spans="1:2">
      <c r="A1241" s="126"/>
      <c r="B1241" s="680"/>
    </row>
    <row r="1242" spans="1:2">
      <c r="A1242" s="126"/>
      <c r="B1242" s="680"/>
    </row>
    <row r="1243" spans="1:2">
      <c r="A1243" s="126"/>
      <c r="B1243" s="680"/>
    </row>
    <row r="1244" spans="1:2">
      <c r="A1244" s="126"/>
      <c r="B1244" s="680"/>
    </row>
    <row r="1245" spans="1:2">
      <c r="A1245" s="126"/>
      <c r="B1245" s="680"/>
    </row>
    <row r="1246" spans="1:2">
      <c r="A1246" s="126"/>
      <c r="B1246" s="680"/>
    </row>
    <row r="1247" spans="1:2">
      <c r="A1247" s="126"/>
      <c r="B1247" s="680"/>
    </row>
    <row r="1248" spans="1:2">
      <c r="A1248" s="126"/>
      <c r="B1248" s="680"/>
    </row>
    <row r="1249" spans="1:2">
      <c r="A1249" s="126"/>
      <c r="B1249" s="680"/>
    </row>
    <row r="1250" spans="1:2">
      <c r="A1250" s="126"/>
      <c r="B1250" s="680"/>
    </row>
    <row r="1251" spans="1:2">
      <c r="A1251" s="126"/>
      <c r="B1251" s="680"/>
    </row>
    <row r="1252" spans="1:2">
      <c r="A1252" s="126"/>
      <c r="B1252" s="680"/>
    </row>
    <row r="1253" spans="1:2">
      <c r="A1253" s="126"/>
      <c r="B1253" s="680"/>
    </row>
    <row r="1254" spans="1:2">
      <c r="A1254" s="126"/>
      <c r="B1254" s="680"/>
    </row>
    <row r="1255" spans="1:2">
      <c r="A1255" s="126"/>
      <c r="B1255" s="680"/>
    </row>
    <row r="1256" spans="1:2">
      <c r="A1256" s="126"/>
      <c r="B1256" s="680"/>
    </row>
    <row r="1257" spans="1:2">
      <c r="A1257" s="126"/>
      <c r="B1257" s="680"/>
    </row>
    <row r="1258" spans="1:2">
      <c r="A1258" s="126"/>
      <c r="B1258" s="680"/>
    </row>
    <row r="1259" spans="1:2">
      <c r="A1259" s="126"/>
      <c r="B1259" s="680"/>
    </row>
    <row r="1260" spans="1:2">
      <c r="A1260" s="126"/>
      <c r="B1260" s="680"/>
    </row>
    <row r="1261" spans="1:2">
      <c r="A1261" s="126"/>
      <c r="B1261" s="680"/>
    </row>
    <row r="1262" spans="1:2">
      <c r="A1262" s="126"/>
      <c r="B1262" s="680"/>
    </row>
    <row r="1263" spans="1:2">
      <c r="A1263" s="126"/>
      <c r="B1263" s="680"/>
    </row>
    <row r="1264" spans="1:2">
      <c r="A1264" s="126"/>
      <c r="B1264" s="680"/>
    </row>
    <row r="1265" spans="1:2">
      <c r="A1265" s="126"/>
      <c r="B1265" s="680"/>
    </row>
    <row r="1266" spans="1:2">
      <c r="A1266" s="126"/>
      <c r="B1266" s="680"/>
    </row>
    <row r="1267" spans="1:2">
      <c r="A1267" s="126"/>
      <c r="B1267" s="680"/>
    </row>
    <row r="1268" spans="1:2">
      <c r="A1268" s="126"/>
      <c r="B1268" s="680"/>
    </row>
    <row r="1269" spans="1:2">
      <c r="A1269" s="126"/>
      <c r="B1269" s="680"/>
    </row>
    <row r="1270" spans="1:2">
      <c r="A1270" s="126"/>
      <c r="B1270" s="680"/>
    </row>
    <row r="1271" spans="1:2">
      <c r="A1271" s="126"/>
      <c r="B1271" s="680"/>
    </row>
    <row r="1272" spans="1:2">
      <c r="A1272" s="126"/>
      <c r="B1272" s="680"/>
    </row>
    <row r="1273" spans="1:2">
      <c r="A1273" s="126"/>
      <c r="B1273" s="680"/>
    </row>
    <row r="1274" spans="1:2">
      <c r="A1274" s="126"/>
      <c r="B1274" s="680"/>
    </row>
    <row r="1275" spans="1:2">
      <c r="A1275" s="126"/>
      <c r="B1275" s="680"/>
    </row>
    <row r="1276" spans="1:2">
      <c r="A1276" s="126"/>
      <c r="B1276" s="680"/>
    </row>
    <row r="1277" spans="1:2">
      <c r="A1277" s="126"/>
      <c r="B1277" s="680"/>
    </row>
    <row r="1278" spans="1:2">
      <c r="A1278" s="126"/>
      <c r="B1278" s="680"/>
    </row>
    <row r="1279" spans="1:2">
      <c r="A1279" s="126"/>
      <c r="B1279" s="680"/>
    </row>
    <row r="1280" spans="1:2">
      <c r="A1280" s="126"/>
      <c r="B1280" s="680"/>
    </row>
    <row r="1281" spans="1:2">
      <c r="A1281" s="126"/>
      <c r="B1281" s="680"/>
    </row>
    <row r="1282" spans="1:2">
      <c r="A1282" s="126"/>
      <c r="B1282" s="680"/>
    </row>
    <row r="1283" spans="1:2">
      <c r="A1283" s="126"/>
      <c r="B1283" s="680"/>
    </row>
    <row r="1284" spans="1:2">
      <c r="A1284" s="126"/>
      <c r="B1284" s="680"/>
    </row>
    <row r="1285" spans="1:2">
      <c r="A1285" s="126"/>
      <c r="B1285" s="680"/>
    </row>
    <row r="1286" spans="1:2">
      <c r="A1286" s="126"/>
      <c r="B1286" s="680"/>
    </row>
    <row r="1287" spans="1:2">
      <c r="A1287" s="126"/>
      <c r="B1287" s="680"/>
    </row>
    <row r="1288" spans="1:2">
      <c r="A1288" s="126"/>
      <c r="B1288" s="680"/>
    </row>
    <row r="1289" spans="1:2">
      <c r="A1289" s="126"/>
      <c r="B1289" s="680"/>
    </row>
    <row r="1290" spans="1:2">
      <c r="A1290" s="126"/>
      <c r="B1290" s="680"/>
    </row>
    <row r="1291" spans="1:2">
      <c r="A1291" s="126"/>
      <c r="B1291" s="680"/>
    </row>
    <row r="1292" spans="1:2">
      <c r="A1292" s="126"/>
      <c r="B1292" s="680"/>
    </row>
    <row r="1293" spans="1:2">
      <c r="A1293" s="126"/>
      <c r="B1293" s="680"/>
    </row>
    <row r="1294" spans="1:2">
      <c r="A1294" s="126"/>
      <c r="B1294" s="680"/>
    </row>
    <row r="1295" spans="1:2">
      <c r="A1295" s="126"/>
      <c r="B1295" s="680"/>
    </row>
    <row r="1296" spans="1:2">
      <c r="A1296" s="126"/>
      <c r="B1296" s="680"/>
    </row>
    <row r="1297" spans="1:2">
      <c r="A1297" s="126"/>
      <c r="B1297" s="680"/>
    </row>
    <row r="1298" spans="1:2">
      <c r="A1298" s="126"/>
      <c r="B1298" s="680"/>
    </row>
    <row r="1299" spans="1:2">
      <c r="A1299" s="126"/>
      <c r="B1299" s="680"/>
    </row>
    <row r="1300" spans="1:2">
      <c r="A1300" s="126"/>
      <c r="B1300" s="680"/>
    </row>
    <row r="1301" spans="1:2">
      <c r="A1301" s="126"/>
      <c r="B1301" s="680"/>
    </row>
    <row r="1302" spans="1:2">
      <c r="A1302" s="126"/>
      <c r="B1302" s="680"/>
    </row>
    <row r="1303" spans="1:2">
      <c r="A1303" s="126"/>
      <c r="B1303" s="680"/>
    </row>
    <row r="1304" spans="1:2">
      <c r="A1304" s="126"/>
      <c r="B1304" s="680"/>
    </row>
    <row r="1305" spans="1:2">
      <c r="A1305" s="126"/>
      <c r="B1305" s="680"/>
    </row>
    <row r="1306" spans="1:2">
      <c r="A1306" s="126"/>
      <c r="B1306" s="680"/>
    </row>
    <row r="1307" spans="1:2">
      <c r="A1307" s="126"/>
      <c r="B1307" s="680"/>
    </row>
    <row r="1308" spans="1:2">
      <c r="A1308" s="126"/>
      <c r="B1308" s="680"/>
    </row>
    <row r="1309" spans="1:2">
      <c r="A1309" s="126"/>
      <c r="B1309" s="680"/>
    </row>
    <row r="1310" spans="1:2">
      <c r="A1310" s="126"/>
      <c r="B1310" s="680"/>
    </row>
    <row r="1311" spans="1:2">
      <c r="A1311" s="126"/>
      <c r="B1311" s="680"/>
    </row>
    <row r="1312" spans="1:2">
      <c r="A1312" s="126"/>
      <c r="B1312" s="680"/>
    </row>
    <row r="1313" spans="1:2">
      <c r="A1313" s="126"/>
      <c r="B1313" s="680"/>
    </row>
    <row r="1314" spans="1:2">
      <c r="A1314" s="126"/>
      <c r="B1314" s="680"/>
    </row>
    <row r="1315" spans="1:2">
      <c r="A1315" s="126"/>
      <c r="B1315" s="680"/>
    </row>
    <row r="1316" spans="1:2">
      <c r="A1316" s="126"/>
      <c r="B1316" s="680"/>
    </row>
    <row r="1317" spans="1:2">
      <c r="A1317" s="126"/>
      <c r="B1317" s="680"/>
    </row>
    <row r="1318" spans="1:2">
      <c r="A1318" s="126"/>
      <c r="B1318" s="680"/>
    </row>
    <row r="1319" spans="1:2">
      <c r="A1319" s="126"/>
      <c r="B1319" s="680"/>
    </row>
    <row r="1320" spans="1:2">
      <c r="A1320" s="126"/>
      <c r="B1320" s="680"/>
    </row>
    <row r="1321" spans="1:2">
      <c r="A1321" s="126"/>
      <c r="B1321" s="680"/>
    </row>
    <row r="1322" spans="1:2">
      <c r="A1322" s="126"/>
      <c r="B1322" s="680"/>
    </row>
    <row r="1323" spans="1:2">
      <c r="A1323" s="126"/>
      <c r="B1323" s="680"/>
    </row>
    <row r="1324" spans="1:2">
      <c r="A1324" s="126"/>
      <c r="B1324" s="680"/>
    </row>
    <row r="1325" spans="1:2">
      <c r="A1325" s="126"/>
      <c r="B1325" s="680"/>
    </row>
    <row r="1326" spans="1:2">
      <c r="A1326" s="126"/>
      <c r="B1326" s="680"/>
    </row>
    <row r="1327" spans="1:2">
      <c r="A1327" s="126"/>
      <c r="B1327" s="680"/>
    </row>
    <row r="1328" spans="1:2">
      <c r="A1328" s="126"/>
      <c r="B1328" s="680"/>
    </row>
    <row r="1329" spans="1:2">
      <c r="A1329" s="126"/>
      <c r="B1329" s="680"/>
    </row>
    <row r="1330" spans="1:2">
      <c r="A1330" s="126"/>
      <c r="B1330" s="680"/>
    </row>
    <row r="1331" spans="1:2">
      <c r="A1331" s="126"/>
      <c r="B1331" s="680"/>
    </row>
    <row r="1332" spans="1:2">
      <c r="A1332" s="126"/>
      <c r="B1332" s="680"/>
    </row>
    <row r="1333" spans="1:2">
      <c r="A1333" s="126"/>
      <c r="B1333" s="680"/>
    </row>
    <row r="1334" spans="1:2">
      <c r="A1334" s="126"/>
      <c r="B1334" s="680"/>
    </row>
    <row r="1335" spans="1:2">
      <c r="A1335" s="126"/>
      <c r="B1335" s="680"/>
    </row>
    <row r="1336" spans="1:2">
      <c r="A1336" s="126"/>
      <c r="B1336" s="680"/>
    </row>
    <row r="1337" spans="1:2">
      <c r="A1337" s="126"/>
      <c r="B1337" s="680"/>
    </row>
    <row r="1338" spans="1:2">
      <c r="A1338" s="126"/>
      <c r="B1338" s="680"/>
    </row>
    <row r="1339" spans="1:2">
      <c r="A1339" s="126"/>
      <c r="B1339" s="680"/>
    </row>
    <row r="1340" spans="1:2">
      <c r="A1340" s="126"/>
      <c r="B1340" s="680"/>
    </row>
    <row r="1341" spans="1:2">
      <c r="A1341" s="126"/>
      <c r="B1341" s="680"/>
    </row>
    <row r="1342" spans="1:2">
      <c r="A1342" s="126"/>
      <c r="B1342" s="680"/>
    </row>
    <row r="1343" spans="1:2">
      <c r="A1343" s="126"/>
      <c r="B1343" s="680"/>
    </row>
    <row r="1344" spans="1:2">
      <c r="A1344" s="126"/>
      <c r="B1344" s="680"/>
    </row>
    <row r="1345" spans="1:2">
      <c r="A1345" s="126"/>
      <c r="B1345" s="680"/>
    </row>
    <row r="1346" spans="1:2">
      <c r="A1346" s="126"/>
      <c r="B1346" s="680"/>
    </row>
    <row r="1347" spans="1:2">
      <c r="A1347" s="126"/>
      <c r="B1347" s="680"/>
    </row>
    <row r="1348" spans="1:2">
      <c r="A1348" s="126"/>
      <c r="B1348" s="680"/>
    </row>
    <row r="1349" spans="1:2">
      <c r="A1349" s="126"/>
      <c r="B1349" s="680"/>
    </row>
    <row r="1350" spans="1:2">
      <c r="A1350" s="126"/>
      <c r="B1350" s="680"/>
    </row>
    <row r="1351" spans="1:2">
      <c r="A1351" s="126"/>
      <c r="B1351" s="680"/>
    </row>
    <row r="1352" spans="1:2">
      <c r="A1352" s="126"/>
      <c r="B1352" s="680"/>
    </row>
    <row r="1353" spans="1:2">
      <c r="A1353" s="126"/>
      <c r="B1353" s="680"/>
    </row>
    <row r="1354" spans="1:2">
      <c r="A1354" s="126"/>
      <c r="B1354" s="680"/>
    </row>
    <row r="1355" spans="1:2">
      <c r="A1355" s="126"/>
      <c r="B1355" s="680"/>
    </row>
    <row r="1356" spans="1:2">
      <c r="A1356" s="126"/>
      <c r="B1356" s="680"/>
    </row>
    <row r="1357" spans="1:2">
      <c r="A1357" s="126"/>
      <c r="B1357" s="680"/>
    </row>
    <row r="1358" spans="1:2">
      <c r="A1358" s="126"/>
      <c r="B1358" s="680"/>
    </row>
    <row r="1359" spans="1:2">
      <c r="A1359" s="126"/>
      <c r="B1359" s="680"/>
    </row>
    <row r="1360" spans="1:2">
      <c r="A1360" s="126"/>
      <c r="B1360" s="680"/>
    </row>
    <row r="1361" spans="1:2">
      <c r="A1361" s="126"/>
      <c r="B1361" s="680"/>
    </row>
    <row r="1362" spans="1:2">
      <c r="A1362" s="126"/>
      <c r="B1362" s="680"/>
    </row>
    <row r="1363" spans="1:2">
      <c r="A1363" s="126"/>
      <c r="B1363" s="680"/>
    </row>
    <row r="1364" spans="1:2">
      <c r="A1364" s="126"/>
      <c r="B1364" s="680"/>
    </row>
    <row r="1365" spans="1:2">
      <c r="A1365" s="126"/>
      <c r="B1365" s="680"/>
    </row>
    <row r="1366" spans="1:2">
      <c r="A1366" s="126"/>
      <c r="B1366" s="680"/>
    </row>
    <row r="1367" spans="1:2">
      <c r="A1367" s="126"/>
      <c r="B1367" s="680"/>
    </row>
    <row r="1368" spans="1:2">
      <c r="A1368" s="126"/>
      <c r="B1368" s="680"/>
    </row>
    <row r="1369" spans="1:2">
      <c r="A1369" s="126"/>
      <c r="B1369" s="680"/>
    </row>
    <row r="1370" spans="1:2">
      <c r="A1370" s="126"/>
      <c r="B1370" s="680"/>
    </row>
    <row r="1371" spans="1:2">
      <c r="A1371" s="126"/>
      <c r="B1371" s="680"/>
    </row>
    <row r="1372" spans="1:2">
      <c r="A1372" s="126"/>
      <c r="B1372" s="680"/>
    </row>
    <row r="1373" spans="1:2">
      <c r="A1373" s="126"/>
      <c r="B1373" s="680"/>
    </row>
    <row r="1374" spans="1:2">
      <c r="A1374" s="126"/>
      <c r="B1374" s="680"/>
    </row>
    <row r="1375" spans="1:2">
      <c r="A1375" s="126"/>
      <c r="B1375" s="680"/>
    </row>
    <row r="1376" spans="1:2">
      <c r="A1376" s="126"/>
      <c r="B1376" s="680"/>
    </row>
    <row r="1377" spans="1:2">
      <c r="A1377" s="126"/>
      <c r="B1377" s="680"/>
    </row>
    <row r="1378" spans="1:2">
      <c r="A1378" s="126"/>
      <c r="B1378" s="680"/>
    </row>
    <row r="1379" spans="1:2">
      <c r="A1379" s="126"/>
      <c r="B1379" s="680"/>
    </row>
    <row r="1380" spans="1:2">
      <c r="A1380" s="126"/>
      <c r="B1380" s="680"/>
    </row>
    <row r="1381" spans="1:2">
      <c r="A1381" s="126"/>
      <c r="B1381" s="680"/>
    </row>
    <row r="1382" spans="1:2">
      <c r="A1382" s="126"/>
      <c r="B1382" s="680"/>
    </row>
    <row r="1383" spans="1:2">
      <c r="A1383" s="126"/>
      <c r="B1383" s="680"/>
    </row>
    <row r="1384" spans="1:2">
      <c r="A1384" s="126"/>
      <c r="B1384" s="680"/>
    </row>
    <row r="1385" spans="1:2">
      <c r="A1385" s="126"/>
      <c r="B1385" s="680"/>
    </row>
    <row r="1386" spans="1:2">
      <c r="A1386" s="126"/>
      <c r="B1386" s="680"/>
    </row>
    <row r="1387" spans="1:2">
      <c r="A1387" s="126"/>
      <c r="B1387" s="680"/>
    </row>
    <row r="1388" spans="1:2">
      <c r="A1388" s="126"/>
      <c r="B1388" s="680"/>
    </row>
    <row r="1389" spans="1:2">
      <c r="A1389" s="126"/>
      <c r="B1389" s="680"/>
    </row>
    <row r="1390" spans="1:2">
      <c r="A1390" s="126"/>
      <c r="B1390" s="680"/>
    </row>
    <row r="1391" spans="1:2">
      <c r="A1391" s="126"/>
      <c r="B1391" s="680"/>
    </row>
    <row r="1392" spans="1:2">
      <c r="A1392" s="126"/>
      <c r="B1392" s="680"/>
    </row>
    <row r="1393" spans="1:2">
      <c r="A1393" s="126"/>
      <c r="B1393" s="680"/>
    </row>
    <row r="1394" spans="1:2">
      <c r="A1394" s="126"/>
      <c r="B1394" s="680"/>
    </row>
    <row r="1395" spans="1:2">
      <c r="A1395" s="126"/>
      <c r="B1395" s="680"/>
    </row>
    <row r="1396" spans="1:2">
      <c r="A1396" s="126"/>
      <c r="B1396" s="680"/>
    </row>
    <row r="1397" spans="1:2">
      <c r="A1397" s="126"/>
      <c r="B1397" s="680"/>
    </row>
    <row r="1398" spans="1:2">
      <c r="A1398" s="126"/>
      <c r="B1398" s="680"/>
    </row>
    <row r="1399" spans="1:2">
      <c r="A1399" s="126"/>
      <c r="B1399" s="680"/>
    </row>
    <row r="1400" spans="1:2">
      <c r="A1400" s="126"/>
      <c r="B1400" s="680"/>
    </row>
    <row r="1401" spans="1:2">
      <c r="A1401" s="126"/>
      <c r="B1401" s="680"/>
    </row>
    <row r="1402" spans="1:2">
      <c r="A1402" s="126"/>
      <c r="B1402" s="680"/>
    </row>
    <row r="1403" spans="1:2">
      <c r="A1403" s="126"/>
      <c r="B1403" s="680"/>
    </row>
    <row r="1404" spans="1:2">
      <c r="A1404" s="126"/>
      <c r="B1404" s="680"/>
    </row>
    <row r="1405" spans="1:2">
      <c r="A1405" s="126"/>
      <c r="B1405" s="680"/>
    </row>
    <row r="1406" spans="1:2">
      <c r="A1406" s="126"/>
      <c r="B1406" s="680"/>
    </row>
    <row r="1407" spans="1:2">
      <c r="A1407" s="126"/>
      <c r="B1407" s="680"/>
    </row>
    <row r="1408" spans="1:2">
      <c r="A1408" s="126"/>
      <c r="B1408" s="680"/>
    </row>
    <row r="1409" spans="1:2">
      <c r="A1409" s="126"/>
      <c r="B1409" s="680"/>
    </row>
    <row r="1410" spans="1:2">
      <c r="A1410" s="126"/>
      <c r="B1410" s="680"/>
    </row>
    <row r="1411" spans="1:2">
      <c r="A1411" s="126"/>
      <c r="B1411" s="680"/>
    </row>
    <row r="1412" spans="1:2">
      <c r="A1412" s="126"/>
      <c r="B1412" s="680"/>
    </row>
    <row r="1413" spans="1:2">
      <c r="A1413" s="126"/>
      <c r="B1413" s="680"/>
    </row>
    <row r="1414" spans="1:2">
      <c r="A1414" s="126"/>
      <c r="B1414" s="680"/>
    </row>
    <row r="1415" spans="1:2">
      <c r="A1415" s="126"/>
      <c r="B1415" s="680"/>
    </row>
    <row r="1416" spans="1:2">
      <c r="A1416" s="126"/>
      <c r="B1416" s="680"/>
    </row>
    <row r="1417" spans="1:2">
      <c r="A1417" s="126"/>
      <c r="B1417" s="680"/>
    </row>
    <row r="1418" spans="1:2">
      <c r="A1418" s="126"/>
      <c r="B1418" s="680"/>
    </row>
    <row r="1419" spans="1:2">
      <c r="A1419" s="126"/>
      <c r="B1419" s="680"/>
    </row>
    <row r="1420" spans="1:2">
      <c r="A1420" s="126"/>
      <c r="B1420" s="680"/>
    </row>
    <row r="1421" spans="1:2">
      <c r="A1421" s="126"/>
      <c r="B1421" s="680"/>
    </row>
    <row r="1422" spans="1:2">
      <c r="A1422" s="126"/>
      <c r="B1422" s="680"/>
    </row>
    <row r="1423" spans="1:2">
      <c r="A1423" s="126"/>
      <c r="B1423" s="680"/>
    </row>
    <row r="1424" spans="1:2">
      <c r="A1424" s="126"/>
      <c r="B1424" s="680"/>
    </row>
    <row r="1425" spans="1:2">
      <c r="A1425" s="126"/>
      <c r="B1425" s="680"/>
    </row>
    <row r="1426" spans="1:2">
      <c r="A1426" s="126"/>
      <c r="B1426" s="680"/>
    </row>
    <row r="1427" spans="1:2">
      <c r="A1427" s="126"/>
      <c r="B1427" s="680"/>
    </row>
    <row r="1428" spans="1:2">
      <c r="A1428" s="126"/>
      <c r="B1428" s="680"/>
    </row>
    <row r="1429" spans="1:2">
      <c r="A1429" s="126"/>
      <c r="B1429" s="680"/>
    </row>
    <row r="1430" spans="1:2">
      <c r="A1430" s="126"/>
      <c r="B1430" s="680"/>
    </row>
    <row r="1431" spans="1:2">
      <c r="A1431" s="126"/>
      <c r="B1431" s="680"/>
    </row>
    <row r="1432" spans="1:2">
      <c r="A1432" s="126"/>
      <c r="B1432" s="680"/>
    </row>
    <row r="1433" spans="1:2">
      <c r="A1433" s="126"/>
      <c r="B1433" s="680"/>
    </row>
    <row r="1434" spans="1:2">
      <c r="A1434" s="126"/>
      <c r="B1434" s="680"/>
    </row>
    <row r="1435" spans="1:2">
      <c r="A1435" s="126"/>
      <c r="B1435" s="680"/>
    </row>
    <row r="1436" spans="1:2">
      <c r="A1436" s="126"/>
      <c r="B1436" s="680"/>
    </row>
    <row r="1437" spans="1:2">
      <c r="A1437" s="126"/>
      <c r="B1437" s="680"/>
    </row>
    <row r="1438" spans="1:2">
      <c r="A1438" s="126"/>
      <c r="B1438" s="680"/>
    </row>
    <row r="1439" spans="1:2">
      <c r="A1439" s="126"/>
      <c r="B1439" s="680"/>
    </row>
    <row r="1440" spans="1:2">
      <c r="A1440" s="126"/>
      <c r="B1440" s="680"/>
    </row>
    <row r="1441" spans="1:2">
      <c r="A1441" s="126"/>
      <c r="B1441" s="680"/>
    </row>
    <row r="1442" spans="1:2">
      <c r="A1442" s="126"/>
      <c r="B1442" s="680"/>
    </row>
    <row r="1443" spans="1:2">
      <c r="A1443" s="126"/>
      <c r="B1443" s="680"/>
    </row>
    <row r="1444" spans="1:2">
      <c r="A1444" s="126"/>
      <c r="B1444" s="680"/>
    </row>
    <row r="1445" spans="1:2">
      <c r="A1445" s="126"/>
      <c r="B1445" s="680"/>
    </row>
    <row r="1446" spans="1:2">
      <c r="A1446" s="126"/>
      <c r="B1446" s="680"/>
    </row>
    <row r="1447" spans="1:2">
      <c r="A1447" s="126"/>
      <c r="B1447" s="680"/>
    </row>
    <row r="1448" spans="1:2">
      <c r="A1448" s="126"/>
      <c r="B1448" s="680"/>
    </row>
    <row r="1449" spans="1:2">
      <c r="A1449" s="126"/>
      <c r="B1449" s="680"/>
    </row>
    <row r="1450" spans="1:2">
      <c r="A1450" s="126"/>
      <c r="B1450" s="680"/>
    </row>
    <row r="1451" spans="1:2">
      <c r="A1451" s="126"/>
      <c r="B1451" s="680"/>
    </row>
    <row r="1452" spans="1:2">
      <c r="A1452" s="126"/>
      <c r="B1452" s="680"/>
    </row>
    <row r="1453" spans="1:2">
      <c r="A1453" s="126"/>
      <c r="B1453" s="680"/>
    </row>
    <row r="1454" spans="1:2">
      <c r="A1454" s="126"/>
      <c r="B1454" s="680"/>
    </row>
    <row r="1455" spans="1:2">
      <c r="A1455" s="126"/>
      <c r="B1455" s="680"/>
    </row>
    <row r="1456" spans="1:2">
      <c r="A1456" s="126"/>
      <c r="B1456" s="680"/>
    </row>
    <row r="1457" spans="1:2">
      <c r="A1457" s="126"/>
      <c r="B1457" s="680"/>
    </row>
    <row r="1458" spans="1:2">
      <c r="A1458" s="126"/>
      <c r="B1458" s="680"/>
    </row>
    <row r="1459" spans="1:2">
      <c r="A1459" s="126"/>
      <c r="B1459" s="680"/>
    </row>
    <row r="1460" spans="1:2">
      <c r="A1460" s="126"/>
      <c r="B1460" s="680"/>
    </row>
    <row r="1461" spans="1:2">
      <c r="A1461" s="126"/>
      <c r="B1461" s="680"/>
    </row>
    <row r="1462" spans="1:2">
      <c r="A1462" s="126"/>
      <c r="B1462" s="680"/>
    </row>
    <row r="1463" spans="1:2">
      <c r="A1463" s="126"/>
      <c r="B1463" s="680"/>
    </row>
    <row r="1464" spans="1:2">
      <c r="A1464" s="126"/>
      <c r="B1464" s="680"/>
    </row>
    <row r="1465" spans="1:2">
      <c r="A1465" s="126"/>
      <c r="B1465" s="680"/>
    </row>
    <row r="1466" spans="1:2">
      <c r="A1466" s="126"/>
      <c r="B1466" s="680"/>
    </row>
    <row r="1467" spans="1:2">
      <c r="A1467" s="126"/>
      <c r="B1467" s="680"/>
    </row>
    <row r="1468" spans="1:2">
      <c r="A1468" s="126"/>
      <c r="B1468" s="680"/>
    </row>
    <row r="1469" spans="1:2">
      <c r="A1469" s="126"/>
      <c r="B1469" s="680"/>
    </row>
    <row r="1470" spans="1:2">
      <c r="A1470" s="126"/>
      <c r="B1470" s="680"/>
    </row>
    <row r="1471" spans="1:2">
      <c r="A1471" s="126"/>
      <c r="B1471" s="680"/>
    </row>
    <row r="1472" spans="1:2">
      <c r="A1472" s="126"/>
      <c r="B1472" s="680"/>
    </row>
    <row r="1473" spans="1:2">
      <c r="A1473" s="126"/>
      <c r="B1473" s="680"/>
    </row>
    <row r="1474" spans="1:2">
      <c r="A1474" s="126"/>
      <c r="B1474" s="680"/>
    </row>
    <row r="1475" spans="1:2">
      <c r="A1475" s="126"/>
      <c r="B1475" s="680"/>
    </row>
    <row r="1476" spans="1:2">
      <c r="A1476" s="126"/>
      <c r="B1476" s="680"/>
    </row>
    <row r="1477" spans="1:2">
      <c r="A1477" s="126"/>
      <c r="B1477" s="680"/>
    </row>
    <row r="1478" spans="1:2">
      <c r="A1478" s="126"/>
      <c r="B1478" s="680"/>
    </row>
    <row r="1479" spans="1:2">
      <c r="A1479" s="126"/>
      <c r="B1479" s="680"/>
    </row>
    <row r="1480" spans="1:2">
      <c r="A1480" s="126"/>
      <c r="B1480" s="680"/>
    </row>
    <row r="1481" spans="1:2">
      <c r="A1481" s="126"/>
      <c r="B1481" s="680"/>
    </row>
    <row r="1482" spans="1:2">
      <c r="A1482" s="126"/>
      <c r="B1482" s="680"/>
    </row>
    <row r="1483" spans="1:2">
      <c r="A1483" s="126"/>
      <c r="B1483" s="680"/>
    </row>
    <row r="1484" spans="1:2">
      <c r="A1484" s="126"/>
      <c r="B1484" s="680"/>
    </row>
    <row r="1485" spans="1:2">
      <c r="A1485" s="126"/>
      <c r="B1485" s="680"/>
    </row>
    <row r="1486" spans="1:2">
      <c r="A1486" s="126"/>
      <c r="B1486" s="680"/>
    </row>
    <row r="1487" spans="1:2">
      <c r="A1487" s="126"/>
      <c r="B1487" s="680"/>
    </row>
    <row r="1488" spans="1:2">
      <c r="A1488" s="126"/>
      <c r="B1488" s="680"/>
    </row>
    <row r="1489" spans="1:2">
      <c r="A1489" s="126"/>
      <c r="B1489" s="680"/>
    </row>
    <row r="1490" spans="1:2">
      <c r="A1490" s="126"/>
      <c r="B1490" s="680"/>
    </row>
    <row r="1491" spans="1:2">
      <c r="A1491" s="126"/>
      <c r="B1491" s="680"/>
    </row>
    <row r="1492" spans="1:2">
      <c r="A1492" s="126"/>
      <c r="B1492" s="680"/>
    </row>
    <row r="1493" spans="1:2">
      <c r="A1493" s="126"/>
      <c r="B1493" s="680"/>
    </row>
    <row r="1494" spans="1:2">
      <c r="A1494" s="126"/>
      <c r="B1494" s="680"/>
    </row>
    <row r="1495" spans="1:2">
      <c r="A1495" s="126"/>
      <c r="B1495" s="680"/>
    </row>
    <row r="1496" spans="1:2">
      <c r="A1496" s="126"/>
      <c r="B1496" s="680"/>
    </row>
    <row r="1497" spans="1:2">
      <c r="A1497" s="126"/>
      <c r="B1497" s="680"/>
    </row>
    <row r="1498" spans="1:2">
      <c r="A1498" s="126"/>
      <c r="B1498" s="680"/>
    </row>
    <row r="1499" spans="1:2">
      <c r="A1499" s="126"/>
      <c r="B1499" s="680"/>
    </row>
    <row r="1500" spans="1:2">
      <c r="A1500" s="126"/>
      <c r="B1500" s="680"/>
    </row>
    <row r="1501" spans="1:2">
      <c r="A1501" s="126"/>
      <c r="B1501" s="680"/>
    </row>
    <row r="1502" spans="1:2">
      <c r="A1502" s="126"/>
      <c r="B1502" s="680"/>
    </row>
    <row r="1503" spans="1:2">
      <c r="A1503" s="126"/>
      <c r="B1503" s="680"/>
    </row>
    <row r="1504" spans="1:2">
      <c r="A1504" s="126"/>
      <c r="B1504" s="680"/>
    </row>
    <row r="1505" spans="1:2">
      <c r="A1505" s="126"/>
      <c r="B1505" s="680"/>
    </row>
    <row r="1506" spans="1:2">
      <c r="A1506" s="126"/>
      <c r="B1506" s="680"/>
    </row>
    <row r="1507" spans="1:2">
      <c r="A1507" s="126"/>
      <c r="B1507" s="680"/>
    </row>
    <row r="1508" spans="1:2">
      <c r="A1508" s="126"/>
      <c r="B1508" s="680"/>
    </row>
    <row r="1509" spans="1:2">
      <c r="A1509" s="126"/>
      <c r="B1509" s="680"/>
    </row>
    <row r="1510" spans="1:2">
      <c r="A1510" s="126"/>
      <c r="B1510" s="680"/>
    </row>
    <row r="1511" spans="1:2">
      <c r="A1511" s="126"/>
      <c r="B1511" s="680"/>
    </row>
    <row r="1512" spans="1:2">
      <c r="A1512" s="126"/>
      <c r="B1512" s="680"/>
    </row>
    <row r="1513" spans="1:2">
      <c r="A1513" s="126"/>
      <c r="B1513" s="680"/>
    </row>
    <row r="1514" spans="1:2">
      <c r="A1514" s="126"/>
      <c r="B1514" s="680"/>
    </row>
    <row r="1515" spans="1:2">
      <c r="A1515" s="126"/>
      <c r="B1515" s="680"/>
    </row>
    <row r="1516" spans="1:2">
      <c r="A1516" s="126"/>
      <c r="B1516" s="680"/>
    </row>
    <row r="1517" spans="1:2">
      <c r="A1517" s="126"/>
      <c r="B1517" s="680"/>
    </row>
    <row r="1518" spans="1:2">
      <c r="A1518" s="126"/>
      <c r="B1518" s="680"/>
    </row>
    <row r="1519" spans="1:2">
      <c r="A1519" s="126"/>
      <c r="B1519" s="680"/>
    </row>
    <row r="1520" spans="1:2">
      <c r="A1520" s="126"/>
      <c r="B1520" s="680"/>
    </row>
    <row r="1521" spans="1:2">
      <c r="A1521" s="126"/>
      <c r="B1521" s="680"/>
    </row>
    <row r="1522" spans="1:2">
      <c r="A1522" s="126"/>
      <c r="B1522" s="680"/>
    </row>
    <row r="1523" spans="1:2">
      <c r="A1523" s="126"/>
      <c r="B1523" s="680"/>
    </row>
    <row r="1524" spans="1:2">
      <c r="A1524" s="126"/>
      <c r="B1524" s="680"/>
    </row>
    <row r="1525" spans="1:2">
      <c r="A1525" s="126"/>
      <c r="B1525" s="680"/>
    </row>
    <row r="1526" spans="1:2">
      <c r="A1526" s="126"/>
      <c r="B1526" s="680"/>
    </row>
    <row r="1527" spans="1:2">
      <c r="A1527" s="126"/>
      <c r="B1527" s="680"/>
    </row>
    <row r="1528" spans="1:2">
      <c r="A1528" s="126"/>
      <c r="B1528" s="680"/>
    </row>
    <row r="1529" spans="1:2">
      <c r="A1529" s="126"/>
      <c r="B1529" s="680"/>
    </row>
    <row r="1530" spans="1:2">
      <c r="A1530" s="126"/>
      <c r="B1530" s="680"/>
    </row>
    <row r="1531" spans="1:2">
      <c r="A1531" s="126"/>
      <c r="B1531" s="680"/>
    </row>
    <row r="1532" spans="1:2">
      <c r="A1532" s="126"/>
      <c r="B1532" s="680"/>
    </row>
    <row r="1533" spans="1:2">
      <c r="A1533" s="126"/>
      <c r="B1533" s="680"/>
    </row>
    <row r="1534" spans="1:2">
      <c r="A1534" s="126"/>
      <c r="B1534" s="680"/>
    </row>
    <row r="1535" spans="1:2">
      <c r="A1535" s="126"/>
      <c r="B1535" s="680"/>
    </row>
    <row r="1536" spans="1:2">
      <c r="A1536" s="126"/>
      <c r="B1536" s="680"/>
    </row>
    <row r="1537" spans="1:2">
      <c r="A1537" s="126"/>
      <c r="B1537" s="680"/>
    </row>
    <row r="1538" spans="1:2">
      <c r="A1538" s="126"/>
      <c r="B1538" s="680"/>
    </row>
    <row r="1539" spans="1:2">
      <c r="A1539" s="126"/>
      <c r="B1539" s="680"/>
    </row>
    <row r="1540" spans="1:2">
      <c r="A1540" s="126"/>
      <c r="B1540" s="680"/>
    </row>
    <row r="1541" spans="1:2">
      <c r="A1541" s="126"/>
      <c r="B1541" s="680"/>
    </row>
    <row r="1542" spans="1:2">
      <c r="A1542" s="126"/>
      <c r="B1542" s="680"/>
    </row>
    <row r="1543" spans="1:2">
      <c r="A1543" s="126"/>
      <c r="B1543" s="680"/>
    </row>
    <row r="1544" spans="1:2">
      <c r="A1544" s="126"/>
      <c r="B1544" s="680"/>
    </row>
    <row r="1545" spans="1:2">
      <c r="A1545" s="126"/>
      <c r="B1545" s="680"/>
    </row>
    <row r="1546" spans="1:2">
      <c r="A1546" s="126"/>
      <c r="B1546" s="680"/>
    </row>
    <row r="1547" spans="1:2">
      <c r="A1547" s="126"/>
      <c r="B1547" s="680"/>
    </row>
    <row r="1548" spans="1:2">
      <c r="A1548" s="126"/>
      <c r="B1548" s="680"/>
    </row>
    <row r="1549" spans="1:2">
      <c r="A1549" s="126"/>
      <c r="B1549" s="680"/>
    </row>
    <row r="1550" spans="1:2">
      <c r="A1550" s="126"/>
      <c r="B1550" s="680"/>
    </row>
    <row r="1551" spans="1:2">
      <c r="A1551" s="126"/>
      <c r="B1551" s="680"/>
    </row>
    <row r="1552" spans="1:2">
      <c r="A1552" s="126"/>
      <c r="B1552" s="680"/>
    </row>
    <row r="1553" spans="1:2">
      <c r="A1553" s="126"/>
      <c r="B1553" s="680"/>
    </row>
    <row r="1554" spans="1:2">
      <c r="A1554" s="126"/>
      <c r="B1554" s="680"/>
    </row>
    <row r="1555" spans="1:2">
      <c r="A1555" s="126"/>
      <c r="B1555" s="680"/>
    </row>
    <row r="1556" spans="1:2">
      <c r="A1556" s="126"/>
      <c r="B1556" s="680"/>
    </row>
    <row r="1557" spans="1:2">
      <c r="A1557" s="126"/>
      <c r="B1557" s="680"/>
    </row>
    <row r="1558" spans="1:2">
      <c r="A1558" s="126"/>
      <c r="B1558" s="680"/>
    </row>
    <row r="1559" spans="1:2">
      <c r="A1559" s="126"/>
      <c r="B1559" s="680"/>
    </row>
    <row r="1560" spans="1:2">
      <c r="A1560" s="126"/>
      <c r="B1560" s="680"/>
    </row>
    <row r="1561" spans="1:2">
      <c r="A1561" s="126"/>
      <c r="B1561" s="680"/>
    </row>
    <row r="1562" spans="1:2">
      <c r="A1562" s="126"/>
      <c r="B1562" s="680"/>
    </row>
    <row r="1563" spans="1:2">
      <c r="A1563" s="126"/>
      <c r="B1563" s="680"/>
    </row>
    <row r="1564" spans="1:2">
      <c r="A1564" s="126"/>
      <c r="B1564" s="680"/>
    </row>
    <row r="1565" spans="1:2">
      <c r="A1565" s="126"/>
      <c r="B1565" s="680"/>
    </row>
    <row r="1566" spans="1:2">
      <c r="A1566" s="126"/>
      <c r="B1566" s="680"/>
    </row>
    <row r="1567" spans="1:2">
      <c r="A1567" s="126"/>
      <c r="B1567" s="680"/>
    </row>
    <row r="1568" spans="1:2">
      <c r="A1568" s="126"/>
      <c r="B1568" s="680"/>
    </row>
    <row r="1569" spans="1:2">
      <c r="A1569" s="126"/>
      <c r="B1569" s="680"/>
    </row>
    <row r="1570" spans="1:2">
      <c r="A1570" s="126"/>
      <c r="B1570" s="680"/>
    </row>
    <row r="1571" spans="1:2">
      <c r="A1571" s="126"/>
      <c r="B1571" s="680"/>
    </row>
    <row r="1572" spans="1:2">
      <c r="A1572" s="126"/>
      <c r="B1572" s="680"/>
    </row>
    <row r="1573" spans="1:2">
      <c r="A1573" s="126"/>
      <c r="B1573" s="680"/>
    </row>
    <row r="1574" spans="1:2">
      <c r="A1574" s="126"/>
      <c r="B1574" s="680"/>
    </row>
    <row r="1575" spans="1:2">
      <c r="A1575" s="126"/>
      <c r="B1575" s="680"/>
    </row>
    <row r="1576" spans="1:2">
      <c r="A1576" s="126"/>
      <c r="B1576" s="680"/>
    </row>
    <row r="1577" spans="1:2">
      <c r="A1577" s="126"/>
      <c r="B1577" s="680"/>
    </row>
    <row r="1578" spans="1:2">
      <c r="A1578" s="126"/>
      <c r="B1578" s="680"/>
    </row>
    <row r="1579" spans="1:2">
      <c r="A1579" s="126"/>
      <c r="B1579" s="680"/>
    </row>
    <row r="1580" spans="1:2">
      <c r="A1580" s="126"/>
      <c r="B1580" s="680"/>
    </row>
    <row r="1581" spans="1:2">
      <c r="A1581" s="126"/>
      <c r="B1581" s="680"/>
    </row>
    <row r="1582" spans="1:2">
      <c r="A1582" s="126"/>
      <c r="B1582" s="680"/>
    </row>
    <row r="1583" spans="1:2">
      <c r="A1583" s="126"/>
      <c r="B1583" s="680"/>
    </row>
    <row r="1584" spans="1:2">
      <c r="A1584" s="126"/>
      <c r="B1584" s="680"/>
    </row>
    <row r="1585" spans="1:2">
      <c r="A1585" s="126"/>
      <c r="B1585" s="680"/>
    </row>
    <row r="1586" spans="1:2">
      <c r="A1586" s="126"/>
      <c r="B1586" s="680"/>
    </row>
    <row r="1587" spans="1:2">
      <c r="A1587" s="126"/>
      <c r="B1587" s="680"/>
    </row>
    <row r="1588" spans="1:2">
      <c r="A1588" s="126"/>
      <c r="B1588" s="680"/>
    </row>
    <row r="1589" spans="1:2">
      <c r="A1589" s="126"/>
      <c r="B1589" s="680"/>
    </row>
    <row r="1590" spans="1:2">
      <c r="A1590" s="126"/>
      <c r="B1590" s="680"/>
    </row>
    <row r="1591" spans="1:2">
      <c r="A1591" s="126"/>
      <c r="B1591" s="680"/>
    </row>
    <row r="1592" spans="1:2">
      <c r="A1592" s="126"/>
      <c r="B1592" s="680"/>
    </row>
    <row r="1593" spans="1:2">
      <c r="A1593" s="126"/>
      <c r="B1593" s="680"/>
    </row>
    <row r="1594" spans="1:2">
      <c r="A1594" s="126"/>
      <c r="B1594" s="680"/>
    </row>
    <row r="1595" spans="1:2">
      <c r="A1595" s="126"/>
      <c r="B1595" s="680"/>
    </row>
    <row r="1596" spans="1:2">
      <c r="A1596" s="126"/>
      <c r="B1596" s="680"/>
    </row>
    <row r="1597" spans="1:2">
      <c r="A1597" s="126"/>
      <c r="B1597" s="680"/>
    </row>
    <row r="1598" spans="1:2">
      <c r="A1598" s="126"/>
      <c r="B1598" s="680"/>
    </row>
    <row r="1599" spans="1:2">
      <c r="A1599" s="126"/>
      <c r="B1599" s="680"/>
    </row>
    <row r="1600" spans="1:2">
      <c r="A1600" s="126"/>
      <c r="B1600" s="680"/>
    </row>
    <row r="1601" spans="1:2">
      <c r="A1601" s="126"/>
      <c r="B1601" s="680"/>
    </row>
    <row r="1602" spans="1:2">
      <c r="A1602" s="126"/>
      <c r="B1602" s="680"/>
    </row>
    <row r="1603" spans="1:2">
      <c r="A1603" s="126"/>
      <c r="B1603" s="680"/>
    </row>
    <row r="1604" spans="1:2">
      <c r="A1604" s="126"/>
      <c r="B1604" s="680"/>
    </row>
    <row r="1605" spans="1:2">
      <c r="A1605" s="126"/>
      <c r="B1605" s="680"/>
    </row>
    <row r="1606" spans="1:2">
      <c r="A1606" s="126"/>
      <c r="B1606" s="680"/>
    </row>
    <row r="1607" spans="1:2">
      <c r="A1607" s="126"/>
      <c r="B1607" s="680"/>
    </row>
    <row r="1608" spans="1:2">
      <c r="A1608" s="126"/>
      <c r="B1608" s="680"/>
    </row>
    <row r="1609" spans="1:2">
      <c r="A1609" s="126"/>
      <c r="B1609" s="680"/>
    </row>
    <row r="1610" spans="1:2">
      <c r="A1610" s="126"/>
      <c r="B1610" s="680"/>
    </row>
    <row r="1611" spans="1:2">
      <c r="A1611" s="126"/>
      <c r="B1611" s="680"/>
    </row>
    <row r="1612" spans="1:2">
      <c r="A1612" s="126"/>
      <c r="B1612" s="680"/>
    </row>
    <row r="1613" spans="1:2">
      <c r="A1613" s="126"/>
      <c r="B1613" s="680"/>
    </row>
    <row r="1614" spans="1:2">
      <c r="A1614" s="126"/>
      <c r="B1614" s="680"/>
    </row>
    <row r="1615" spans="1:2">
      <c r="A1615" s="126"/>
      <c r="B1615" s="680"/>
    </row>
    <row r="1616" spans="1:2">
      <c r="A1616" s="126"/>
      <c r="B1616" s="680"/>
    </row>
    <row r="1617" spans="1:2">
      <c r="A1617" s="126"/>
      <c r="B1617" s="680"/>
    </row>
    <row r="1618" spans="1:2">
      <c r="A1618" s="126"/>
      <c r="B1618" s="680"/>
    </row>
    <row r="1619" spans="1:2">
      <c r="A1619" s="126"/>
      <c r="B1619" s="680"/>
    </row>
    <row r="1620" spans="1:2">
      <c r="A1620" s="126"/>
      <c r="B1620" s="680"/>
    </row>
    <row r="1621" spans="1:2">
      <c r="A1621" s="126"/>
      <c r="B1621" s="680"/>
    </row>
    <row r="1622" spans="1:2">
      <c r="A1622" s="126"/>
      <c r="B1622" s="680"/>
    </row>
    <row r="1623" spans="1:2">
      <c r="A1623" s="126"/>
      <c r="B1623" s="680"/>
    </row>
    <row r="1624" spans="1:2">
      <c r="A1624" s="126"/>
      <c r="B1624" s="680"/>
    </row>
    <row r="1625" spans="1:2">
      <c r="A1625" s="126"/>
      <c r="B1625" s="680"/>
    </row>
    <row r="1626" spans="1:2">
      <c r="A1626" s="126"/>
      <c r="B1626" s="680"/>
    </row>
    <row r="1627" spans="1:2">
      <c r="A1627" s="126"/>
      <c r="B1627" s="680"/>
    </row>
    <row r="1628" spans="1:2">
      <c r="A1628" s="126"/>
      <c r="B1628" s="680"/>
    </row>
    <row r="1629" spans="1:2">
      <c r="A1629" s="126"/>
      <c r="B1629" s="680"/>
    </row>
    <row r="1630" spans="1:2">
      <c r="A1630" s="126"/>
      <c r="B1630" s="680"/>
    </row>
    <row r="1631" spans="1:2">
      <c r="A1631" s="126"/>
      <c r="B1631" s="680"/>
    </row>
    <row r="1632" spans="1:2">
      <c r="A1632" s="126"/>
      <c r="B1632" s="680"/>
    </row>
    <row r="1633" spans="1:2">
      <c r="A1633" s="126"/>
      <c r="B1633" s="680"/>
    </row>
    <row r="1634" spans="1:2">
      <c r="A1634" s="126"/>
      <c r="B1634" s="680"/>
    </row>
    <row r="1635" spans="1:2">
      <c r="A1635" s="126"/>
      <c r="B1635" s="680"/>
    </row>
    <row r="1636" spans="1:2">
      <c r="A1636" s="126"/>
      <c r="B1636" s="680"/>
    </row>
    <row r="1637" spans="1:2">
      <c r="A1637" s="126"/>
      <c r="B1637" s="680"/>
    </row>
    <row r="1638" spans="1:2">
      <c r="A1638" s="126"/>
      <c r="B1638" s="680"/>
    </row>
    <row r="1639" spans="1:2">
      <c r="A1639" s="126"/>
      <c r="B1639" s="680"/>
    </row>
    <row r="1640" spans="1:2">
      <c r="A1640" s="126"/>
      <c r="B1640" s="680"/>
    </row>
    <row r="1641" spans="1:2">
      <c r="A1641" s="126"/>
      <c r="B1641" s="680"/>
    </row>
    <row r="1642" spans="1:2">
      <c r="A1642" s="126"/>
      <c r="B1642" s="680"/>
    </row>
    <row r="1643" spans="1:2">
      <c r="A1643" s="126"/>
      <c r="B1643" s="680"/>
    </row>
    <row r="1644" spans="1:2">
      <c r="A1644" s="126"/>
      <c r="B1644" s="680"/>
    </row>
    <row r="1645" spans="1:2">
      <c r="A1645" s="126"/>
      <c r="B1645" s="680"/>
    </row>
    <row r="1646" spans="1:2">
      <c r="A1646" s="126"/>
      <c r="B1646" s="680"/>
    </row>
    <row r="1647" spans="1:2">
      <c r="A1647" s="126"/>
      <c r="B1647" s="680"/>
    </row>
    <row r="1648" spans="1:2">
      <c r="A1648" s="126"/>
      <c r="B1648" s="680"/>
    </row>
    <row r="1649" spans="1:2">
      <c r="A1649" s="126"/>
      <c r="B1649" s="680"/>
    </row>
    <row r="1650" spans="1:2">
      <c r="A1650" s="126"/>
      <c r="B1650" s="680"/>
    </row>
    <row r="1651" spans="1:2">
      <c r="A1651" s="126"/>
      <c r="B1651" s="680"/>
    </row>
    <row r="1652" spans="1:2">
      <c r="A1652" s="126"/>
      <c r="B1652" s="680"/>
    </row>
    <row r="1653" spans="1:2">
      <c r="A1653" s="126"/>
      <c r="B1653" s="680"/>
    </row>
    <row r="1654" spans="1:2">
      <c r="A1654" s="126"/>
      <c r="B1654" s="680"/>
    </row>
    <row r="1655" spans="1:2">
      <c r="A1655" s="126"/>
      <c r="B1655" s="680"/>
    </row>
    <row r="1656" spans="1:2">
      <c r="A1656" s="126"/>
      <c r="B1656" s="680"/>
    </row>
    <row r="1657" spans="1:2">
      <c r="A1657" s="126"/>
      <c r="B1657" s="680"/>
    </row>
    <row r="1658" spans="1:2">
      <c r="A1658" s="126"/>
      <c r="B1658" s="680"/>
    </row>
    <row r="1659" spans="1:2">
      <c r="A1659" s="126"/>
      <c r="B1659" s="680"/>
    </row>
    <row r="1660" spans="1:2">
      <c r="A1660" s="126"/>
      <c r="B1660" s="680"/>
    </row>
    <row r="1661" spans="1:2">
      <c r="A1661" s="126"/>
      <c r="B1661" s="680"/>
    </row>
    <row r="1662" spans="1:2">
      <c r="A1662" s="126"/>
      <c r="B1662" s="680"/>
    </row>
    <row r="1663" spans="1:2">
      <c r="A1663" s="126"/>
      <c r="B1663" s="680"/>
    </row>
    <row r="1664" spans="1:2">
      <c r="A1664" s="126"/>
      <c r="B1664" s="680"/>
    </row>
    <row r="1665" spans="1:2">
      <c r="A1665" s="126"/>
      <c r="B1665" s="680"/>
    </row>
    <row r="1666" spans="1:2">
      <c r="A1666" s="126"/>
      <c r="B1666" s="680"/>
    </row>
    <row r="1667" spans="1:2">
      <c r="A1667" s="126"/>
      <c r="B1667" s="680"/>
    </row>
    <row r="1668" spans="1:2">
      <c r="A1668" s="126"/>
      <c r="B1668" s="680"/>
    </row>
    <row r="1669" spans="1:2">
      <c r="A1669" s="126"/>
      <c r="B1669" s="680"/>
    </row>
    <row r="1670" spans="1:2">
      <c r="A1670" s="126"/>
      <c r="B1670" s="680"/>
    </row>
    <row r="1671" spans="1:2">
      <c r="A1671" s="126"/>
      <c r="B1671" s="680"/>
    </row>
    <row r="1672" spans="1:2">
      <c r="A1672" s="126"/>
      <c r="B1672" s="680"/>
    </row>
    <row r="1673" spans="1:2">
      <c r="A1673" s="126"/>
      <c r="B1673" s="680"/>
    </row>
    <row r="1674" spans="1:2">
      <c r="A1674" s="126"/>
      <c r="B1674" s="680"/>
    </row>
    <row r="1675" spans="1:2">
      <c r="A1675" s="126"/>
      <c r="B1675" s="680"/>
    </row>
    <row r="1676" spans="1:2">
      <c r="A1676" s="126"/>
      <c r="B1676" s="680"/>
    </row>
    <row r="1677" spans="1:2">
      <c r="A1677" s="126"/>
      <c r="B1677" s="680"/>
    </row>
    <row r="1678" spans="1:2">
      <c r="A1678" s="126"/>
      <c r="B1678" s="680"/>
    </row>
    <row r="1679" spans="1:2">
      <c r="A1679" s="126"/>
      <c r="B1679" s="680"/>
    </row>
    <row r="1680" spans="1:2">
      <c r="A1680" s="126"/>
      <c r="B1680" s="680"/>
    </row>
    <row r="1681" spans="1:2">
      <c r="A1681" s="126"/>
      <c r="B1681" s="680"/>
    </row>
    <row r="1682" spans="1:2">
      <c r="A1682" s="126"/>
      <c r="B1682" s="680"/>
    </row>
    <row r="1683" spans="1:2">
      <c r="A1683" s="126"/>
      <c r="B1683" s="680"/>
    </row>
    <row r="1684" spans="1:2">
      <c r="A1684" s="126"/>
      <c r="B1684" s="680"/>
    </row>
    <row r="1685" spans="1:2">
      <c r="A1685" s="126"/>
      <c r="B1685" s="680"/>
    </row>
    <row r="1686" spans="1:2">
      <c r="A1686" s="126"/>
      <c r="B1686" s="680"/>
    </row>
    <row r="1687" spans="1:2">
      <c r="A1687" s="126"/>
      <c r="B1687" s="680"/>
    </row>
    <row r="1688" spans="1:2">
      <c r="A1688" s="126"/>
      <c r="B1688" s="680"/>
    </row>
    <row r="1689" spans="1:2">
      <c r="A1689" s="126"/>
      <c r="B1689" s="680"/>
    </row>
    <row r="1690" spans="1:2">
      <c r="A1690" s="126"/>
      <c r="B1690" s="680"/>
    </row>
    <row r="1691" spans="1:2">
      <c r="A1691" s="126"/>
      <c r="B1691" s="680"/>
    </row>
    <row r="1692" spans="1:2">
      <c r="A1692" s="126"/>
      <c r="B1692" s="680"/>
    </row>
    <row r="1693" spans="1:2">
      <c r="A1693" s="126"/>
      <c r="B1693" s="680"/>
    </row>
    <row r="1694" spans="1:2">
      <c r="A1694" s="126"/>
      <c r="B1694" s="680"/>
    </row>
    <row r="1695" spans="1:2">
      <c r="A1695" s="126"/>
      <c r="B1695" s="680"/>
    </row>
    <row r="1696" spans="1:2">
      <c r="A1696" s="126"/>
      <c r="B1696" s="680"/>
    </row>
    <row r="1697" spans="1:2">
      <c r="A1697" s="126"/>
      <c r="B1697" s="680"/>
    </row>
    <row r="1698" spans="1:2">
      <c r="A1698" s="126"/>
      <c r="B1698" s="680"/>
    </row>
    <row r="1699" spans="1:2">
      <c r="A1699" s="126"/>
      <c r="B1699" s="680"/>
    </row>
    <row r="1700" spans="1:2">
      <c r="A1700" s="126"/>
      <c r="B1700" s="680"/>
    </row>
    <row r="1701" spans="1:2">
      <c r="A1701" s="126"/>
      <c r="B1701" s="680"/>
    </row>
    <row r="1702" spans="1:2">
      <c r="A1702" s="126"/>
      <c r="B1702" s="680"/>
    </row>
    <row r="1703" spans="1:2">
      <c r="A1703" s="126"/>
      <c r="B1703" s="680"/>
    </row>
    <row r="1704" spans="1:2">
      <c r="A1704" s="126"/>
      <c r="B1704" s="680"/>
    </row>
    <row r="1705" spans="1:2">
      <c r="A1705" s="126"/>
      <c r="B1705" s="680"/>
    </row>
    <row r="1706" spans="1:2">
      <c r="A1706" s="126"/>
      <c r="B1706" s="680"/>
    </row>
    <row r="1707" spans="1:2">
      <c r="A1707" s="126"/>
      <c r="B1707" s="680"/>
    </row>
    <row r="1708" spans="1:2">
      <c r="A1708" s="126"/>
      <c r="B1708" s="680"/>
    </row>
    <row r="1709" spans="1:2">
      <c r="A1709" s="126"/>
      <c r="B1709" s="680"/>
    </row>
    <row r="1710" spans="1:2">
      <c r="A1710" s="126"/>
      <c r="B1710" s="680"/>
    </row>
    <row r="1711" spans="1:2">
      <c r="A1711" s="126"/>
      <c r="B1711" s="680"/>
    </row>
    <row r="1712" spans="1:2">
      <c r="A1712" s="126"/>
      <c r="B1712" s="680"/>
    </row>
    <row r="1713" spans="1:2">
      <c r="A1713" s="126"/>
      <c r="B1713" s="680"/>
    </row>
    <row r="1714" spans="1:2">
      <c r="A1714" s="126"/>
      <c r="B1714" s="680"/>
    </row>
    <row r="1715" spans="1:2">
      <c r="A1715" s="126"/>
      <c r="B1715" s="680"/>
    </row>
    <row r="1716" spans="1:2">
      <c r="A1716" s="126"/>
      <c r="B1716" s="680"/>
    </row>
    <row r="1717" spans="1:2">
      <c r="A1717" s="126"/>
      <c r="B1717" s="680"/>
    </row>
    <row r="1718" spans="1:2">
      <c r="A1718" s="126"/>
      <c r="B1718" s="680"/>
    </row>
    <row r="1719" spans="1:2">
      <c r="A1719" s="126"/>
      <c r="B1719" s="680"/>
    </row>
    <row r="1720" spans="1:2">
      <c r="A1720" s="126"/>
      <c r="B1720" s="680"/>
    </row>
    <row r="1721" spans="1:2">
      <c r="A1721" s="126"/>
      <c r="B1721" s="680"/>
    </row>
    <row r="1722" spans="1:2">
      <c r="A1722" s="126"/>
      <c r="B1722" s="680"/>
    </row>
    <row r="1723" spans="1:2">
      <c r="A1723" s="126"/>
      <c r="B1723" s="680"/>
    </row>
    <row r="1724" spans="1:2">
      <c r="A1724" s="126"/>
      <c r="B1724" s="680"/>
    </row>
    <row r="1725" spans="1:2">
      <c r="A1725" s="126"/>
      <c r="B1725" s="680"/>
    </row>
    <row r="1726" spans="1:2">
      <c r="A1726" s="126"/>
      <c r="B1726" s="680"/>
    </row>
    <row r="1727" spans="1:2">
      <c r="A1727" s="126"/>
      <c r="B1727" s="680"/>
    </row>
    <row r="1728" spans="1:2">
      <c r="A1728" s="126"/>
      <c r="B1728" s="680"/>
    </row>
    <row r="1729" spans="1:2">
      <c r="A1729" s="126"/>
      <c r="B1729" s="680"/>
    </row>
    <row r="1730" spans="1:2">
      <c r="A1730" s="126"/>
      <c r="B1730" s="680"/>
    </row>
    <row r="1731" spans="1:2">
      <c r="A1731" s="126"/>
      <c r="B1731" s="680"/>
    </row>
    <row r="1732" spans="1:2">
      <c r="A1732" s="126"/>
      <c r="B1732" s="680"/>
    </row>
    <row r="1733" spans="1:2">
      <c r="A1733" s="126"/>
      <c r="B1733" s="680"/>
    </row>
    <row r="1734" spans="1:2">
      <c r="A1734" s="126"/>
      <c r="B1734" s="680"/>
    </row>
    <row r="1735" spans="1:2">
      <c r="A1735" s="126"/>
      <c r="B1735" s="680"/>
    </row>
    <row r="1736" spans="1:2">
      <c r="A1736" s="126"/>
      <c r="B1736" s="680"/>
    </row>
    <row r="1737" spans="1:2">
      <c r="A1737" s="126"/>
      <c r="B1737" s="680"/>
    </row>
    <row r="1738" spans="1:2">
      <c r="A1738" s="126"/>
      <c r="B1738" s="680"/>
    </row>
    <row r="1739" spans="1:2">
      <c r="A1739" s="126"/>
      <c r="B1739" s="680"/>
    </row>
    <row r="1740" spans="1:2">
      <c r="A1740" s="126"/>
      <c r="B1740" s="680"/>
    </row>
    <row r="1741" spans="1:2">
      <c r="A1741" s="126"/>
      <c r="B1741" s="680"/>
    </row>
    <row r="1742" spans="1:2">
      <c r="A1742" s="126"/>
      <c r="B1742" s="680"/>
    </row>
    <row r="1743" spans="1:2">
      <c r="A1743" s="126"/>
      <c r="B1743" s="680"/>
    </row>
    <row r="1744" spans="1:2">
      <c r="A1744" s="126"/>
      <c r="B1744" s="680"/>
    </row>
    <row r="1745" spans="1:2">
      <c r="A1745" s="126"/>
      <c r="B1745" s="680"/>
    </row>
    <row r="1746" spans="1:2">
      <c r="A1746" s="126"/>
      <c r="B1746" s="680"/>
    </row>
    <row r="1747" spans="1:2">
      <c r="A1747" s="126"/>
      <c r="B1747" s="680"/>
    </row>
    <row r="1748" spans="1:2">
      <c r="A1748" s="126"/>
      <c r="B1748" s="680"/>
    </row>
    <row r="1749" spans="1:2">
      <c r="A1749" s="126"/>
      <c r="B1749" s="680"/>
    </row>
    <row r="1750" spans="1:2">
      <c r="A1750" s="126"/>
      <c r="B1750" s="680"/>
    </row>
    <row r="1751" spans="1:2">
      <c r="A1751" s="126"/>
      <c r="B1751" s="680"/>
    </row>
    <row r="1752" spans="1:2">
      <c r="A1752" s="126"/>
      <c r="B1752" s="680"/>
    </row>
    <row r="1753" spans="1:2">
      <c r="A1753" s="126"/>
      <c r="B1753" s="680"/>
    </row>
    <row r="1754" spans="1:2">
      <c r="A1754" s="126"/>
      <c r="B1754" s="680"/>
    </row>
    <row r="1755" spans="1:2">
      <c r="A1755" s="126"/>
      <c r="B1755" s="680"/>
    </row>
    <row r="1756" spans="1:2">
      <c r="A1756" s="126"/>
      <c r="B1756" s="680"/>
    </row>
    <row r="1757" spans="1:2">
      <c r="A1757" s="126"/>
      <c r="B1757" s="680"/>
    </row>
    <row r="1758" spans="1:2">
      <c r="A1758" s="126"/>
      <c r="B1758" s="680"/>
    </row>
    <row r="1759" spans="1:2">
      <c r="A1759" s="126"/>
      <c r="B1759" s="680"/>
    </row>
    <row r="1760" spans="1:2">
      <c r="A1760" s="126"/>
      <c r="B1760" s="680"/>
    </row>
    <row r="1761" spans="1:2">
      <c r="A1761" s="126"/>
      <c r="B1761" s="680"/>
    </row>
    <row r="1762" spans="1:2">
      <c r="A1762" s="126"/>
      <c r="B1762" s="680"/>
    </row>
    <row r="1763" spans="1:2">
      <c r="A1763" s="126"/>
      <c r="B1763" s="680"/>
    </row>
    <row r="1764" spans="1:2">
      <c r="A1764" s="126"/>
      <c r="B1764" s="680"/>
    </row>
    <row r="1765" spans="1:2">
      <c r="A1765" s="126"/>
      <c r="B1765" s="680"/>
    </row>
    <row r="1766" spans="1:2">
      <c r="A1766" s="126"/>
      <c r="B1766" s="680"/>
    </row>
    <row r="1767" spans="1:2">
      <c r="A1767" s="126"/>
      <c r="B1767" s="680"/>
    </row>
    <row r="1768" spans="1:2">
      <c r="A1768" s="126"/>
      <c r="B1768" s="680"/>
    </row>
    <row r="1769" spans="1:2">
      <c r="A1769" s="126"/>
      <c r="B1769" s="680"/>
    </row>
    <row r="1770" spans="1:2">
      <c r="A1770" s="126"/>
      <c r="B1770" s="680"/>
    </row>
    <row r="1771" spans="1:2">
      <c r="A1771" s="126"/>
      <c r="B1771" s="680"/>
    </row>
    <row r="1772" spans="1:2">
      <c r="A1772" s="126"/>
      <c r="B1772" s="680"/>
    </row>
    <row r="1773" spans="1:2">
      <c r="A1773" s="126"/>
      <c r="B1773" s="680"/>
    </row>
    <row r="1774" spans="1:2">
      <c r="A1774" s="126"/>
      <c r="B1774" s="680"/>
    </row>
    <row r="1775" spans="1:2">
      <c r="A1775" s="126"/>
      <c r="B1775" s="680"/>
    </row>
    <row r="1776" spans="1:2">
      <c r="A1776" s="126"/>
      <c r="B1776" s="680"/>
    </row>
    <row r="1777" spans="1:2">
      <c r="A1777" s="126"/>
      <c r="B1777" s="680"/>
    </row>
    <row r="1778" spans="1:2">
      <c r="A1778" s="126"/>
      <c r="B1778" s="680"/>
    </row>
    <row r="1779" spans="1:2">
      <c r="A1779" s="126"/>
      <c r="B1779" s="680"/>
    </row>
    <row r="1780" spans="1:2">
      <c r="A1780" s="126"/>
      <c r="B1780" s="680"/>
    </row>
    <row r="1781" spans="1:2">
      <c r="A1781" s="126"/>
      <c r="B1781" s="680"/>
    </row>
    <row r="1782" spans="1:2">
      <c r="A1782" s="126"/>
      <c r="B1782" s="680"/>
    </row>
    <row r="1783" spans="1:2">
      <c r="A1783" s="126"/>
      <c r="B1783" s="680"/>
    </row>
    <row r="1784" spans="1:2">
      <c r="A1784" s="126"/>
      <c r="B1784" s="680"/>
    </row>
    <row r="1785" spans="1:2">
      <c r="A1785" s="126"/>
      <c r="B1785" s="680"/>
    </row>
    <row r="1786" spans="1:2">
      <c r="A1786" s="126"/>
      <c r="B1786" s="680"/>
    </row>
    <row r="1787" spans="1:2">
      <c r="A1787" s="126"/>
      <c r="B1787" s="680"/>
    </row>
    <row r="1788" spans="1:2">
      <c r="A1788" s="126"/>
      <c r="B1788" s="680"/>
    </row>
    <row r="1789" spans="1:2">
      <c r="A1789" s="126"/>
      <c r="B1789" s="680"/>
    </row>
    <row r="1790" spans="1:2">
      <c r="A1790" s="126"/>
      <c r="B1790" s="680"/>
    </row>
    <row r="1791" spans="1:2">
      <c r="A1791" s="126"/>
      <c r="B1791" s="680"/>
    </row>
    <row r="1792" spans="1:2">
      <c r="A1792" s="126"/>
      <c r="B1792" s="680"/>
    </row>
    <row r="1793" spans="1:2">
      <c r="A1793" s="126"/>
      <c r="B1793" s="680"/>
    </row>
    <row r="1794" spans="1:2">
      <c r="A1794" s="126"/>
      <c r="B1794" s="680"/>
    </row>
    <row r="1795" spans="1:2">
      <c r="A1795" s="126"/>
      <c r="B1795" s="680"/>
    </row>
    <row r="1796" spans="1:2">
      <c r="A1796" s="126"/>
      <c r="B1796" s="680"/>
    </row>
    <row r="1797" spans="1:2">
      <c r="A1797" s="126"/>
      <c r="B1797" s="680"/>
    </row>
    <row r="1798" spans="1:2">
      <c r="A1798" s="126"/>
      <c r="B1798" s="680"/>
    </row>
    <row r="1799" spans="1:2">
      <c r="A1799" s="126"/>
      <c r="B1799" s="680"/>
    </row>
    <row r="1800" spans="1:2">
      <c r="A1800" s="126"/>
      <c r="B1800" s="680"/>
    </row>
    <row r="1801" spans="1:2">
      <c r="A1801" s="126"/>
      <c r="B1801" s="680"/>
    </row>
    <row r="1802" spans="1:2">
      <c r="A1802" s="126"/>
      <c r="B1802" s="680"/>
    </row>
    <row r="1803" spans="1:2">
      <c r="A1803" s="126"/>
      <c r="B1803" s="680"/>
    </row>
    <row r="1804" spans="1:2">
      <c r="A1804" s="126"/>
      <c r="B1804" s="680"/>
    </row>
    <row r="1805" spans="1:2">
      <c r="A1805" s="126"/>
      <c r="B1805" s="680"/>
    </row>
    <row r="1806" spans="1:2">
      <c r="A1806" s="126"/>
      <c r="B1806" s="680"/>
    </row>
    <row r="1807" spans="1:2">
      <c r="A1807" s="126"/>
      <c r="B1807" s="680"/>
    </row>
    <row r="1808" spans="1:2">
      <c r="A1808" s="126"/>
      <c r="B1808" s="680"/>
    </row>
    <row r="1809" spans="1:2">
      <c r="A1809" s="126"/>
      <c r="B1809" s="680"/>
    </row>
    <row r="1810" spans="1:2">
      <c r="A1810" s="126"/>
      <c r="B1810" s="680"/>
    </row>
    <row r="1811" spans="1:2">
      <c r="A1811" s="126"/>
      <c r="B1811" s="680"/>
    </row>
    <row r="1812" spans="1:2">
      <c r="A1812" s="126"/>
      <c r="B1812" s="680"/>
    </row>
    <row r="1813" spans="1:2">
      <c r="A1813" s="126"/>
      <c r="B1813" s="680"/>
    </row>
    <row r="1814" spans="1:2">
      <c r="A1814" s="126"/>
      <c r="B1814" s="680"/>
    </row>
    <row r="1815" spans="1:2">
      <c r="A1815" s="126"/>
      <c r="B1815" s="680"/>
    </row>
    <row r="1816" spans="1:2">
      <c r="A1816" s="126"/>
      <c r="B1816" s="680"/>
    </row>
    <row r="1817" spans="1:2">
      <c r="A1817" s="126"/>
      <c r="B1817" s="680"/>
    </row>
    <row r="1818" spans="1:2">
      <c r="A1818" s="126"/>
      <c r="B1818" s="680"/>
    </row>
    <row r="1819" spans="1:2">
      <c r="A1819" s="126"/>
      <c r="B1819" s="680"/>
    </row>
    <row r="1820" spans="1:2">
      <c r="A1820" s="126"/>
      <c r="B1820" s="680"/>
    </row>
    <row r="1821" spans="1:2">
      <c r="A1821" s="126"/>
      <c r="B1821" s="680"/>
    </row>
    <row r="1822" spans="1:2">
      <c r="A1822" s="126"/>
      <c r="B1822" s="680"/>
    </row>
    <row r="1823" spans="1:2">
      <c r="A1823" s="126"/>
      <c r="B1823" s="680"/>
    </row>
    <row r="1824" spans="1:2">
      <c r="A1824" s="126"/>
      <c r="B1824" s="680"/>
    </row>
    <row r="1825" spans="1:2">
      <c r="A1825" s="126"/>
      <c r="B1825" s="680"/>
    </row>
    <row r="1826" spans="1:2">
      <c r="A1826" s="126"/>
      <c r="B1826" s="680"/>
    </row>
    <row r="1827" spans="1:2">
      <c r="A1827" s="126"/>
      <c r="B1827" s="680"/>
    </row>
    <row r="1828" spans="1:2">
      <c r="A1828" s="126"/>
      <c r="B1828" s="680"/>
    </row>
    <row r="1829" spans="1:2">
      <c r="A1829" s="126"/>
      <c r="B1829" s="680"/>
    </row>
    <row r="1830" spans="1:2">
      <c r="A1830" s="126"/>
      <c r="B1830" s="680"/>
    </row>
    <row r="1831" spans="1:2">
      <c r="A1831" s="126"/>
      <c r="B1831" s="680"/>
    </row>
    <row r="1832" spans="1:2">
      <c r="A1832" s="126"/>
      <c r="B1832" s="680"/>
    </row>
    <row r="1833" spans="1:2">
      <c r="A1833" s="126"/>
      <c r="B1833" s="680"/>
    </row>
    <row r="1834" spans="1:2">
      <c r="A1834" s="126"/>
      <c r="B1834" s="680"/>
    </row>
    <row r="1835" spans="1:2">
      <c r="A1835" s="126"/>
      <c r="B1835" s="680"/>
    </row>
    <row r="1836" spans="1:2">
      <c r="A1836" s="126"/>
      <c r="B1836" s="680"/>
    </row>
    <row r="1837" spans="1:2">
      <c r="A1837" s="126"/>
      <c r="B1837" s="680"/>
    </row>
    <row r="1838" spans="1:2">
      <c r="A1838" s="126"/>
      <c r="B1838" s="680"/>
    </row>
    <row r="1839" spans="1:2">
      <c r="A1839" s="126"/>
      <c r="B1839" s="680"/>
    </row>
    <row r="1840" spans="1:2">
      <c r="A1840" s="126"/>
      <c r="B1840" s="680"/>
    </row>
    <row r="1841" spans="1:2">
      <c r="A1841" s="126"/>
      <c r="B1841" s="680"/>
    </row>
    <row r="1842" spans="1:2">
      <c r="A1842" s="126"/>
      <c r="B1842" s="680"/>
    </row>
    <row r="1843" spans="1:2">
      <c r="A1843" s="126"/>
      <c r="B1843" s="680"/>
    </row>
    <row r="1844" spans="1:2">
      <c r="A1844" s="126"/>
      <c r="B1844" s="680"/>
    </row>
    <row r="1845" spans="1:2">
      <c r="A1845" s="126"/>
      <c r="B1845" s="680"/>
    </row>
    <row r="1846" spans="1:2">
      <c r="A1846" s="126"/>
      <c r="B1846" s="680"/>
    </row>
    <row r="1847" spans="1:2">
      <c r="A1847" s="126"/>
      <c r="B1847" s="680"/>
    </row>
    <row r="1848" spans="1:2">
      <c r="A1848" s="126"/>
      <c r="B1848" s="680"/>
    </row>
    <row r="1849" spans="1:2">
      <c r="A1849" s="126"/>
      <c r="B1849" s="680"/>
    </row>
    <row r="1850" spans="1:2">
      <c r="A1850" s="126"/>
      <c r="B1850" s="680"/>
    </row>
    <row r="1851" spans="1:2">
      <c r="A1851" s="126"/>
      <c r="B1851" s="680"/>
    </row>
    <row r="1852" spans="1:2">
      <c r="A1852" s="126"/>
      <c r="B1852" s="680"/>
    </row>
    <row r="1853" spans="1:2">
      <c r="A1853" s="126"/>
      <c r="B1853" s="680"/>
    </row>
    <row r="1854" spans="1:2">
      <c r="A1854" s="126"/>
      <c r="B1854" s="680"/>
    </row>
    <row r="1855" spans="1:2">
      <c r="A1855" s="126"/>
      <c r="B1855" s="680"/>
    </row>
    <row r="1856" spans="1:2">
      <c r="A1856" s="126"/>
      <c r="B1856" s="680"/>
    </row>
    <row r="1857" spans="1:2">
      <c r="A1857" s="126"/>
      <c r="B1857" s="680"/>
    </row>
    <row r="1858" spans="1:2">
      <c r="A1858" s="126"/>
      <c r="B1858" s="680"/>
    </row>
    <row r="1859" spans="1:2">
      <c r="A1859" s="126"/>
      <c r="B1859" s="680"/>
    </row>
    <row r="1860" spans="1:2">
      <c r="A1860" s="126"/>
      <c r="B1860" s="680"/>
    </row>
    <row r="1861" spans="1:2">
      <c r="A1861" s="126"/>
      <c r="B1861" s="680"/>
    </row>
    <row r="1862" spans="1:2">
      <c r="A1862" s="126"/>
      <c r="B1862" s="680"/>
    </row>
    <row r="1863" spans="1:2">
      <c r="A1863" s="126"/>
      <c r="B1863" s="680"/>
    </row>
    <row r="1864" spans="1:2">
      <c r="A1864" s="126"/>
      <c r="B1864" s="680"/>
    </row>
    <row r="1865" spans="1:2">
      <c r="A1865" s="126"/>
      <c r="B1865" s="680"/>
    </row>
    <row r="1866" spans="1:2">
      <c r="A1866" s="126"/>
      <c r="B1866" s="680"/>
    </row>
    <row r="1867" spans="1:2">
      <c r="A1867" s="126"/>
      <c r="B1867" s="680"/>
    </row>
    <row r="1868" spans="1:2">
      <c r="A1868" s="126"/>
      <c r="B1868" s="680"/>
    </row>
    <row r="1869" spans="1:2">
      <c r="A1869" s="126"/>
      <c r="B1869" s="680"/>
    </row>
    <row r="1870" spans="1:2">
      <c r="A1870" s="126"/>
      <c r="B1870" s="680"/>
    </row>
    <row r="1871" spans="1:2">
      <c r="A1871" s="126"/>
      <c r="B1871" s="680"/>
    </row>
    <row r="1872" spans="1:2">
      <c r="A1872" s="126"/>
      <c r="B1872" s="680"/>
    </row>
    <row r="1873" spans="1:2">
      <c r="A1873" s="126"/>
      <c r="B1873" s="680"/>
    </row>
    <row r="1874" spans="1:2">
      <c r="A1874" s="126"/>
      <c r="B1874" s="680"/>
    </row>
    <row r="1875" spans="1:2">
      <c r="A1875" s="126"/>
      <c r="B1875" s="680"/>
    </row>
    <row r="1876" spans="1:2">
      <c r="A1876" s="126"/>
      <c r="B1876" s="680"/>
    </row>
    <row r="1877" spans="1:2">
      <c r="A1877" s="126"/>
      <c r="B1877" s="680"/>
    </row>
    <row r="1878" spans="1:2">
      <c r="A1878" s="126"/>
      <c r="B1878" s="680"/>
    </row>
    <row r="1879" spans="1:2">
      <c r="A1879" s="126"/>
      <c r="B1879" s="680"/>
    </row>
    <row r="1880" spans="1:2">
      <c r="A1880" s="126"/>
      <c r="B1880" s="680"/>
    </row>
    <row r="1881" spans="1:2">
      <c r="A1881" s="126"/>
      <c r="B1881" s="680"/>
    </row>
    <row r="1882" spans="1:2">
      <c r="A1882" s="126"/>
      <c r="B1882" s="680"/>
    </row>
    <row r="1883" spans="1:2">
      <c r="A1883" s="126"/>
      <c r="B1883" s="680"/>
    </row>
    <row r="1884" spans="1:2">
      <c r="A1884" s="126"/>
      <c r="B1884" s="680"/>
    </row>
    <row r="1885" spans="1:2">
      <c r="A1885" s="126"/>
      <c r="B1885" s="680"/>
    </row>
    <row r="1886" spans="1:2">
      <c r="A1886" s="126"/>
      <c r="B1886" s="680"/>
    </row>
    <row r="1887" spans="1:2">
      <c r="A1887" s="126"/>
      <c r="B1887" s="680"/>
    </row>
    <row r="1888" spans="1:2">
      <c r="A1888" s="126"/>
      <c r="B1888" s="680"/>
    </row>
    <row r="1889" spans="1:2">
      <c r="A1889" s="126"/>
      <c r="B1889" s="680"/>
    </row>
    <row r="1890" spans="1:2">
      <c r="A1890" s="126"/>
      <c r="B1890" s="680"/>
    </row>
    <row r="1891" spans="1:2">
      <c r="A1891" s="126"/>
      <c r="B1891" s="680"/>
    </row>
    <row r="1892" spans="1:2">
      <c r="A1892" s="126"/>
      <c r="B1892" s="680"/>
    </row>
    <row r="1893" spans="1:2">
      <c r="A1893" s="126"/>
      <c r="B1893" s="680"/>
    </row>
    <row r="1894" spans="1:2">
      <c r="A1894" s="126"/>
      <c r="B1894" s="680"/>
    </row>
    <row r="1895" spans="1:2">
      <c r="A1895" s="126"/>
      <c r="B1895" s="680"/>
    </row>
    <row r="1896" spans="1:2">
      <c r="A1896" s="126"/>
      <c r="B1896" s="680"/>
    </row>
    <row r="1897" spans="1:2">
      <c r="A1897" s="126"/>
      <c r="B1897" s="680"/>
    </row>
    <row r="1898" spans="1:2">
      <c r="A1898" s="126"/>
      <c r="B1898" s="680"/>
    </row>
    <row r="1899" spans="1:2">
      <c r="A1899" s="126"/>
      <c r="B1899" s="680"/>
    </row>
    <row r="1900" spans="1:2">
      <c r="A1900" s="126"/>
      <c r="B1900" s="680"/>
    </row>
    <row r="1901" spans="1:2">
      <c r="A1901" s="126"/>
      <c r="B1901" s="680"/>
    </row>
    <row r="1902" spans="1:2">
      <c r="A1902" s="126"/>
      <c r="B1902" s="680"/>
    </row>
    <row r="1903" spans="1:2">
      <c r="A1903" s="126"/>
      <c r="B1903" s="680"/>
    </row>
    <row r="1904" spans="1:2">
      <c r="A1904" s="126"/>
      <c r="B1904" s="680"/>
    </row>
    <row r="1905" spans="1:2">
      <c r="A1905" s="126"/>
      <c r="B1905" s="680"/>
    </row>
    <row r="1906" spans="1:2">
      <c r="A1906" s="126"/>
      <c r="B1906" s="680"/>
    </row>
    <row r="1907" spans="1:2">
      <c r="A1907" s="126"/>
      <c r="B1907" s="680"/>
    </row>
    <row r="1908" spans="1:2">
      <c r="A1908" s="126"/>
      <c r="B1908" s="680"/>
    </row>
    <row r="1909" spans="1:2">
      <c r="A1909" s="126"/>
      <c r="B1909" s="680"/>
    </row>
    <row r="1910" spans="1:2">
      <c r="A1910" s="126"/>
      <c r="B1910" s="680"/>
    </row>
    <row r="1911" spans="1:2">
      <c r="A1911" s="126"/>
      <c r="B1911" s="680"/>
    </row>
    <row r="1912" spans="1:2">
      <c r="A1912" s="126"/>
      <c r="B1912" s="680"/>
    </row>
    <row r="1913" spans="1:2">
      <c r="A1913" s="126"/>
      <c r="B1913" s="680"/>
    </row>
    <row r="1914" spans="1:2">
      <c r="A1914" s="126"/>
      <c r="B1914" s="680"/>
    </row>
    <row r="1915" spans="1:2">
      <c r="A1915" s="126"/>
      <c r="B1915" s="680"/>
    </row>
    <row r="1916" spans="1:2">
      <c r="A1916" s="126"/>
      <c r="B1916" s="680"/>
    </row>
    <row r="1917" spans="1:2">
      <c r="A1917" s="126"/>
      <c r="B1917" s="680"/>
    </row>
    <row r="1918" spans="1:2">
      <c r="A1918" s="126"/>
      <c r="B1918" s="680"/>
    </row>
    <row r="1919" spans="1:2">
      <c r="A1919" s="126"/>
      <c r="B1919" s="680"/>
    </row>
    <row r="1920" spans="1:2">
      <c r="A1920" s="126"/>
      <c r="B1920" s="680"/>
    </row>
    <row r="1921" spans="1:2">
      <c r="A1921" s="126"/>
      <c r="B1921" s="680"/>
    </row>
    <row r="1922" spans="1:2">
      <c r="A1922" s="126"/>
      <c r="B1922" s="680"/>
    </row>
    <row r="1923" spans="1:2">
      <c r="A1923" s="126"/>
      <c r="B1923" s="680"/>
    </row>
    <row r="1924" spans="1:2">
      <c r="A1924" s="126"/>
      <c r="B1924" s="680"/>
    </row>
    <row r="1925" spans="1:2">
      <c r="A1925" s="126"/>
      <c r="B1925" s="680"/>
    </row>
    <row r="1926" spans="1:2">
      <c r="A1926" s="126"/>
      <c r="B1926" s="680"/>
    </row>
    <row r="1927" spans="1:2">
      <c r="A1927" s="126"/>
      <c r="B1927" s="680"/>
    </row>
    <row r="1928" spans="1:2">
      <c r="A1928" s="126"/>
      <c r="B1928" s="680"/>
    </row>
    <row r="1929" spans="1:2">
      <c r="A1929" s="126"/>
      <c r="B1929" s="680"/>
    </row>
    <row r="1930" spans="1:2">
      <c r="A1930" s="126"/>
      <c r="B1930" s="680"/>
    </row>
    <row r="1931" spans="1:2">
      <c r="A1931" s="126"/>
      <c r="B1931" s="680"/>
    </row>
    <row r="1932" spans="1:2">
      <c r="A1932" s="126"/>
      <c r="B1932" s="680"/>
    </row>
    <row r="1933" spans="1:2">
      <c r="A1933" s="126"/>
      <c r="B1933" s="680"/>
    </row>
    <row r="1934" spans="1:2">
      <c r="A1934" s="126"/>
      <c r="B1934" s="680"/>
    </row>
    <row r="1935" spans="1:2">
      <c r="A1935" s="126"/>
      <c r="B1935" s="680"/>
    </row>
    <row r="1936" spans="1:2">
      <c r="A1936" s="126"/>
      <c r="B1936" s="680"/>
    </row>
    <row r="1937" spans="1:2">
      <c r="A1937" s="126"/>
      <c r="B1937" s="680"/>
    </row>
    <row r="1938" spans="1:2">
      <c r="A1938" s="126"/>
      <c r="B1938" s="680"/>
    </row>
    <row r="1939" spans="1:2">
      <c r="A1939" s="126"/>
      <c r="B1939" s="680"/>
    </row>
    <row r="1940" spans="1:2">
      <c r="A1940" s="126"/>
      <c r="B1940" s="680"/>
    </row>
    <row r="1941" spans="1:2">
      <c r="A1941" s="126"/>
      <c r="B1941" s="680"/>
    </row>
    <row r="1942" spans="1:2">
      <c r="A1942" s="126"/>
      <c r="B1942" s="680"/>
    </row>
    <row r="1943" spans="1:2">
      <c r="A1943" s="126"/>
      <c r="B1943" s="680"/>
    </row>
    <row r="1944" spans="1:2">
      <c r="A1944" s="126"/>
      <c r="B1944" s="680"/>
    </row>
    <row r="1945" spans="1:2">
      <c r="A1945" s="126"/>
      <c r="B1945" s="680"/>
    </row>
    <row r="1946" spans="1:2">
      <c r="A1946" s="126"/>
      <c r="B1946" s="680"/>
    </row>
    <row r="1947" spans="1:2">
      <c r="A1947" s="126"/>
      <c r="B1947" s="680"/>
    </row>
    <row r="1948" spans="1:2">
      <c r="A1948" s="126"/>
      <c r="B1948" s="680"/>
    </row>
    <row r="1949" spans="1:2">
      <c r="A1949" s="126"/>
      <c r="B1949" s="680"/>
    </row>
    <row r="1950" spans="1:2">
      <c r="A1950" s="126"/>
      <c r="B1950" s="680"/>
    </row>
    <row r="1951" spans="1:2">
      <c r="A1951" s="126"/>
      <c r="B1951" s="680"/>
    </row>
    <row r="1952" spans="1:2">
      <c r="A1952" s="126"/>
      <c r="B1952" s="680"/>
    </row>
    <row r="1953" spans="1:2">
      <c r="A1953" s="126"/>
      <c r="B1953" s="680"/>
    </row>
    <row r="1954" spans="1:2">
      <c r="A1954" s="126"/>
      <c r="B1954" s="680"/>
    </row>
    <row r="1955" spans="1:2">
      <c r="A1955" s="126"/>
      <c r="B1955" s="680"/>
    </row>
    <row r="1956" spans="1:2">
      <c r="A1956" s="126"/>
      <c r="B1956" s="680"/>
    </row>
    <row r="1957" spans="1:2">
      <c r="A1957" s="126"/>
      <c r="B1957" s="680"/>
    </row>
    <row r="1958" spans="1:2">
      <c r="A1958" s="126"/>
      <c r="B1958" s="680"/>
    </row>
    <row r="1959" spans="1:2">
      <c r="A1959" s="126"/>
      <c r="B1959" s="680"/>
    </row>
    <row r="1960" spans="1:2">
      <c r="A1960" s="126"/>
      <c r="B1960" s="680"/>
    </row>
    <row r="1961" spans="1:2">
      <c r="A1961" s="126"/>
      <c r="B1961" s="680"/>
    </row>
    <row r="1962" spans="1:2">
      <c r="A1962" s="126"/>
      <c r="B1962" s="680"/>
    </row>
    <row r="1963" spans="1:2">
      <c r="A1963" s="126"/>
      <c r="B1963" s="680"/>
    </row>
    <row r="1964" spans="1:2">
      <c r="A1964" s="126"/>
      <c r="B1964" s="680"/>
    </row>
    <row r="1965" spans="1:2">
      <c r="A1965" s="126"/>
      <c r="B1965" s="680"/>
    </row>
    <row r="1966" spans="1:2">
      <c r="A1966" s="126"/>
      <c r="B1966" s="680"/>
    </row>
    <row r="1967" spans="1:2">
      <c r="A1967" s="126"/>
      <c r="B1967" s="680"/>
    </row>
    <row r="1968" spans="1:2">
      <c r="A1968" s="126"/>
      <c r="B1968" s="680"/>
    </row>
    <row r="1969" spans="1:2">
      <c r="A1969" s="126"/>
      <c r="B1969" s="680"/>
    </row>
    <row r="1970" spans="1:2">
      <c r="A1970" s="126"/>
      <c r="B1970" s="680"/>
    </row>
    <row r="1971" spans="1:2">
      <c r="A1971" s="126"/>
      <c r="B1971" s="680"/>
    </row>
    <row r="1972" spans="1:2">
      <c r="A1972" s="126"/>
      <c r="B1972" s="680"/>
    </row>
    <row r="1973" spans="1:2">
      <c r="A1973" s="126"/>
      <c r="B1973" s="680"/>
    </row>
    <row r="1974" spans="1:2">
      <c r="A1974" s="126"/>
      <c r="B1974" s="680"/>
    </row>
    <row r="1975" spans="1:2">
      <c r="A1975" s="126"/>
      <c r="B1975" s="680"/>
    </row>
    <row r="1976" spans="1:2">
      <c r="A1976" s="126"/>
      <c r="B1976" s="680"/>
    </row>
    <row r="1977" spans="1:2">
      <c r="A1977" s="126"/>
      <c r="B1977" s="680"/>
    </row>
    <row r="1978" spans="1:2">
      <c r="A1978" s="126"/>
      <c r="B1978" s="680"/>
    </row>
    <row r="1979" spans="1:2">
      <c r="A1979" s="126"/>
      <c r="B1979" s="680"/>
    </row>
    <row r="1980" spans="1:2">
      <c r="A1980" s="126"/>
      <c r="B1980" s="680"/>
    </row>
    <row r="1981" spans="1:2">
      <c r="A1981" s="126"/>
      <c r="B1981" s="680"/>
    </row>
    <row r="1982" spans="1:2">
      <c r="A1982" s="126"/>
      <c r="B1982" s="680"/>
    </row>
    <row r="1983" spans="1:2">
      <c r="A1983" s="126"/>
      <c r="B1983" s="680"/>
    </row>
    <row r="1984" spans="1:2">
      <c r="A1984" s="126"/>
      <c r="B1984" s="680"/>
    </row>
    <row r="1985" spans="1:2">
      <c r="A1985" s="126"/>
      <c r="B1985" s="680"/>
    </row>
    <row r="1986" spans="1:2">
      <c r="A1986" s="126"/>
      <c r="B1986" s="680"/>
    </row>
    <row r="1987" spans="1:2">
      <c r="A1987" s="126"/>
      <c r="B1987" s="680"/>
    </row>
    <row r="1988" spans="1:2">
      <c r="A1988" s="126"/>
      <c r="B1988" s="680"/>
    </row>
    <row r="1989" spans="1:2">
      <c r="A1989" s="126"/>
      <c r="B1989" s="680"/>
    </row>
    <row r="1990" spans="1:2">
      <c r="A1990" s="126"/>
      <c r="B1990" s="680"/>
    </row>
    <row r="1991" spans="1:2">
      <c r="A1991" s="126"/>
      <c r="B1991" s="680"/>
    </row>
    <row r="1992" spans="1:2">
      <c r="A1992" s="126"/>
      <c r="B1992" s="680"/>
    </row>
    <row r="1993" spans="1:2">
      <c r="A1993" s="126"/>
      <c r="B1993" s="680"/>
    </row>
    <row r="1994" spans="1:2">
      <c r="A1994" s="126"/>
      <c r="B1994" s="680"/>
    </row>
    <row r="1995" spans="1:2">
      <c r="A1995" s="126"/>
      <c r="B1995" s="680"/>
    </row>
    <row r="1996" spans="1:2">
      <c r="A1996" s="126"/>
      <c r="B1996" s="680"/>
    </row>
    <row r="1997" spans="1:2">
      <c r="A1997" s="126"/>
      <c r="B1997" s="680"/>
    </row>
    <row r="1998" spans="1:2">
      <c r="A1998" s="126"/>
      <c r="B1998" s="680"/>
    </row>
    <row r="1999" spans="1:2">
      <c r="A1999" s="126"/>
      <c r="B1999" s="680"/>
    </row>
    <row r="2000" spans="1:2">
      <c r="A2000" s="126"/>
      <c r="B2000" s="680"/>
    </row>
    <row r="2001" spans="1:2">
      <c r="A2001" s="126"/>
      <c r="B2001" s="680"/>
    </row>
    <row r="2002" spans="1:2">
      <c r="A2002" s="126"/>
      <c r="B2002" s="680"/>
    </row>
    <row r="2003" spans="1:2">
      <c r="A2003" s="126"/>
      <c r="B2003" s="680"/>
    </row>
    <row r="2004" spans="1:2">
      <c r="A2004" s="126"/>
      <c r="B2004" s="680"/>
    </row>
    <row r="2005" spans="1:2">
      <c r="A2005" s="126"/>
      <c r="B2005" s="680"/>
    </row>
    <row r="2006" spans="1:2">
      <c r="A2006" s="126"/>
      <c r="B2006" s="680"/>
    </row>
    <row r="2007" spans="1:2">
      <c r="A2007" s="126"/>
      <c r="B2007" s="680"/>
    </row>
    <row r="2008" spans="1:2">
      <c r="A2008" s="126"/>
      <c r="B2008" s="680"/>
    </row>
    <row r="2009" spans="1:2">
      <c r="A2009" s="126"/>
      <c r="B2009" s="680"/>
    </row>
    <row r="2010" spans="1:2">
      <c r="A2010" s="126"/>
      <c r="B2010" s="680"/>
    </row>
    <row r="2011" spans="1:2">
      <c r="A2011" s="126"/>
      <c r="B2011" s="680"/>
    </row>
    <row r="2012" spans="1:2">
      <c r="A2012" s="126"/>
      <c r="B2012" s="680"/>
    </row>
    <row r="2013" spans="1:2">
      <c r="A2013" s="126"/>
      <c r="B2013" s="680"/>
    </row>
    <row r="2014" spans="1:2">
      <c r="A2014" s="126"/>
      <c r="B2014" s="680"/>
    </row>
    <row r="2015" spans="1:2">
      <c r="A2015" s="126"/>
      <c r="B2015" s="680"/>
    </row>
    <row r="2016" spans="1:2">
      <c r="A2016" s="126"/>
      <c r="B2016" s="680"/>
    </row>
    <row r="2017" spans="1:2">
      <c r="A2017" s="126"/>
      <c r="B2017" s="680"/>
    </row>
    <row r="2018" spans="1:2">
      <c r="A2018" s="126"/>
      <c r="B2018" s="680"/>
    </row>
    <row r="2019" spans="1:2">
      <c r="A2019" s="126"/>
      <c r="B2019" s="680"/>
    </row>
    <row r="2020" spans="1:2">
      <c r="A2020" s="126"/>
      <c r="B2020" s="680"/>
    </row>
    <row r="2021" spans="1:2">
      <c r="A2021" s="126"/>
      <c r="B2021" s="680"/>
    </row>
    <row r="2022" spans="1:2">
      <c r="A2022" s="126"/>
      <c r="B2022" s="680"/>
    </row>
    <row r="2023" spans="1:2">
      <c r="A2023" s="126"/>
      <c r="B2023" s="680"/>
    </row>
    <row r="2024" spans="1:2">
      <c r="A2024" s="126"/>
      <c r="B2024" s="680"/>
    </row>
    <row r="2025" spans="1:2">
      <c r="A2025" s="126"/>
      <c r="B2025" s="680"/>
    </row>
    <row r="2026" spans="1:2">
      <c r="A2026" s="126"/>
      <c r="B2026" s="680"/>
    </row>
    <row r="2027" spans="1:2">
      <c r="A2027" s="126"/>
      <c r="B2027" s="680"/>
    </row>
    <row r="2028" spans="1:2">
      <c r="A2028" s="126"/>
      <c r="B2028" s="680"/>
    </row>
    <row r="2029" spans="1:2">
      <c r="A2029" s="126"/>
      <c r="B2029" s="680"/>
    </row>
    <row r="2030" spans="1:2">
      <c r="A2030" s="126"/>
      <c r="B2030" s="680"/>
    </row>
    <row r="2031" spans="1:2">
      <c r="A2031" s="126"/>
      <c r="B2031" s="680"/>
    </row>
    <row r="2032" spans="1:2">
      <c r="A2032" s="126"/>
      <c r="B2032" s="680"/>
    </row>
    <row r="2033" spans="1:2">
      <c r="A2033" s="126"/>
      <c r="B2033" s="680"/>
    </row>
    <row r="2034" spans="1:2">
      <c r="A2034" s="126"/>
      <c r="B2034" s="680"/>
    </row>
    <row r="2035" spans="1:2">
      <c r="A2035" s="126"/>
      <c r="B2035" s="680"/>
    </row>
    <row r="2036" spans="1:2">
      <c r="A2036" s="126"/>
      <c r="B2036" s="680"/>
    </row>
    <row r="2037" spans="1:2">
      <c r="A2037" s="126"/>
      <c r="B2037" s="680"/>
    </row>
    <row r="2038" spans="1:2">
      <c r="A2038" s="126"/>
      <c r="B2038" s="680"/>
    </row>
    <row r="2039" spans="1:2">
      <c r="A2039" s="126"/>
      <c r="B2039" s="680"/>
    </row>
    <row r="2040" spans="1:2">
      <c r="A2040" s="126"/>
      <c r="B2040" s="680"/>
    </row>
    <row r="2041" spans="1:2">
      <c r="A2041" s="126"/>
      <c r="B2041" s="680"/>
    </row>
    <row r="2042" spans="1:2">
      <c r="A2042" s="126"/>
      <c r="B2042" s="680"/>
    </row>
    <row r="2043" spans="1:2">
      <c r="A2043" s="126"/>
      <c r="B2043" s="680"/>
    </row>
    <row r="2044" spans="1:2">
      <c r="A2044" s="126"/>
      <c r="B2044" s="680"/>
    </row>
    <row r="2045" spans="1:2">
      <c r="A2045" s="126"/>
      <c r="B2045" s="680"/>
    </row>
    <row r="2046" spans="1:2">
      <c r="A2046" s="126"/>
      <c r="B2046" s="680"/>
    </row>
    <row r="2047" spans="1:2">
      <c r="A2047" s="126"/>
      <c r="B2047" s="680"/>
    </row>
    <row r="2048" spans="1:2">
      <c r="A2048" s="126"/>
      <c r="B2048" s="680"/>
    </row>
    <row r="2049" spans="1:2">
      <c r="A2049" s="126"/>
      <c r="B2049" s="680"/>
    </row>
    <row r="2050" spans="1:2">
      <c r="A2050" s="126"/>
      <c r="B2050" s="680"/>
    </row>
    <row r="2051" spans="1:2">
      <c r="A2051" s="126"/>
      <c r="B2051" s="680"/>
    </row>
    <row r="2052" spans="1:2">
      <c r="A2052" s="126"/>
      <c r="B2052" s="680"/>
    </row>
    <row r="2053" spans="1:2">
      <c r="A2053" s="126"/>
      <c r="B2053" s="680"/>
    </row>
    <row r="2054" spans="1:2">
      <c r="A2054" s="126"/>
      <c r="B2054" s="680"/>
    </row>
    <row r="2055" spans="1:2">
      <c r="A2055" s="126"/>
      <c r="B2055" s="680"/>
    </row>
    <row r="2056" spans="1:2">
      <c r="A2056" s="126"/>
      <c r="B2056" s="680"/>
    </row>
    <row r="2057" spans="1:2">
      <c r="A2057" s="126"/>
      <c r="B2057" s="680"/>
    </row>
    <row r="2058" spans="1:2">
      <c r="A2058" s="126"/>
      <c r="B2058" s="680"/>
    </row>
    <row r="2059" spans="1:2">
      <c r="A2059" s="126"/>
      <c r="B2059" s="680"/>
    </row>
    <row r="2060" spans="1:2">
      <c r="A2060" s="126"/>
      <c r="B2060" s="680"/>
    </row>
    <row r="2061" spans="1:2">
      <c r="A2061" s="126"/>
      <c r="B2061" s="680"/>
    </row>
    <row r="2062" spans="1:2">
      <c r="A2062" s="126"/>
      <c r="B2062" s="680"/>
    </row>
    <row r="2063" spans="1:2">
      <c r="A2063" s="126"/>
      <c r="B2063" s="680"/>
    </row>
    <row r="2064" spans="1:2">
      <c r="A2064" s="126"/>
      <c r="B2064" s="680"/>
    </row>
    <row r="2065" spans="1:2">
      <c r="A2065" s="126"/>
      <c r="B2065" s="680"/>
    </row>
    <row r="2066" spans="1:2">
      <c r="A2066" s="126"/>
      <c r="B2066" s="680"/>
    </row>
    <row r="2067" spans="1:2">
      <c r="A2067" s="126"/>
      <c r="B2067" s="680"/>
    </row>
    <row r="2068" spans="1:2">
      <c r="A2068" s="126"/>
      <c r="B2068" s="680"/>
    </row>
    <row r="2069" spans="1:2">
      <c r="A2069" s="126"/>
      <c r="B2069" s="680"/>
    </row>
    <row r="2070" spans="1:2">
      <c r="A2070" s="126"/>
      <c r="B2070" s="680"/>
    </row>
    <row r="2071" spans="1:2">
      <c r="A2071" s="126"/>
      <c r="B2071" s="680"/>
    </row>
    <row r="2072" spans="1:2">
      <c r="A2072" s="126"/>
      <c r="B2072" s="680"/>
    </row>
    <row r="2073" spans="1:2">
      <c r="A2073" s="126"/>
      <c r="B2073" s="680"/>
    </row>
    <row r="2074" spans="1:2">
      <c r="A2074" s="126"/>
      <c r="B2074" s="680"/>
    </row>
    <row r="2075" spans="1:2">
      <c r="A2075" s="126"/>
      <c r="B2075" s="680"/>
    </row>
    <row r="2076" spans="1:2">
      <c r="A2076" s="126"/>
      <c r="B2076" s="680"/>
    </row>
    <row r="2077" spans="1:2">
      <c r="A2077" s="126"/>
      <c r="B2077" s="680"/>
    </row>
    <row r="2078" spans="1:2">
      <c r="A2078" s="126"/>
      <c r="B2078" s="680"/>
    </row>
    <row r="2079" spans="1:2">
      <c r="A2079" s="126"/>
      <c r="B2079" s="680"/>
    </row>
    <row r="2080" spans="1:2">
      <c r="A2080" s="126"/>
      <c r="B2080" s="680"/>
    </row>
    <row r="2081" spans="1:2">
      <c r="A2081" s="126"/>
      <c r="B2081" s="680"/>
    </row>
    <row r="2082" spans="1:2">
      <c r="A2082" s="126"/>
      <c r="B2082" s="680"/>
    </row>
    <row r="2083" spans="1:2">
      <c r="A2083" s="126"/>
      <c r="B2083" s="680"/>
    </row>
    <row r="2084" spans="1:2">
      <c r="A2084" s="126"/>
      <c r="B2084" s="680"/>
    </row>
    <row r="2085" spans="1:2">
      <c r="A2085" s="126"/>
      <c r="B2085" s="680"/>
    </row>
    <row r="2086" spans="1:2">
      <c r="A2086" s="126"/>
      <c r="B2086" s="680"/>
    </row>
    <row r="2087" spans="1:2">
      <c r="A2087" s="126"/>
      <c r="B2087" s="680"/>
    </row>
    <row r="2088" spans="1:2">
      <c r="A2088" s="126"/>
      <c r="B2088" s="680"/>
    </row>
    <row r="2089" spans="1:2">
      <c r="A2089" s="126"/>
      <c r="B2089" s="680"/>
    </row>
    <row r="2090" spans="1:2">
      <c r="A2090" s="126"/>
      <c r="B2090" s="680"/>
    </row>
    <row r="2091" spans="1:2">
      <c r="A2091" s="126"/>
      <c r="B2091" s="680"/>
    </row>
    <row r="2092" spans="1:2">
      <c r="A2092" s="126"/>
      <c r="B2092" s="680"/>
    </row>
    <row r="2093" spans="1:2">
      <c r="A2093" s="126"/>
      <c r="B2093" s="680"/>
    </row>
    <row r="2094" spans="1:2">
      <c r="A2094" s="126"/>
      <c r="B2094" s="680"/>
    </row>
    <row r="2095" spans="1:2">
      <c r="A2095" s="126"/>
      <c r="B2095" s="680"/>
    </row>
    <row r="2096" spans="1:2">
      <c r="A2096" s="126"/>
      <c r="B2096" s="680"/>
    </row>
    <row r="2097" spans="1:2">
      <c r="A2097" s="126"/>
      <c r="B2097" s="680"/>
    </row>
    <row r="2098" spans="1:2">
      <c r="A2098" s="126"/>
      <c r="B2098" s="680"/>
    </row>
    <row r="2099" spans="1:2">
      <c r="A2099" s="126"/>
      <c r="B2099" s="680"/>
    </row>
    <row r="2100" spans="1:2">
      <c r="A2100" s="126"/>
      <c r="B2100" s="680"/>
    </row>
    <row r="2101" spans="1:2">
      <c r="A2101" s="126"/>
      <c r="B2101" s="680"/>
    </row>
    <row r="2102" spans="1:2">
      <c r="A2102" s="126"/>
      <c r="B2102" s="680"/>
    </row>
    <row r="2103" spans="1:2">
      <c r="A2103" s="126"/>
      <c r="B2103" s="680"/>
    </row>
    <row r="2104" spans="1:2">
      <c r="A2104" s="126"/>
      <c r="B2104" s="680"/>
    </row>
    <row r="2105" spans="1:2">
      <c r="A2105" s="126"/>
      <c r="B2105" s="680"/>
    </row>
    <row r="2106" spans="1:2">
      <c r="A2106" s="126"/>
      <c r="B2106" s="680"/>
    </row>
    <row r="2107" spans="1:2">
      <c r="A2107" s="126"/>
      <c r="B2107" s="680"/>
    </row>
    <row r="2108" spans="1:2">
      <c r="A2108" s="126"/>
      <c r="B2108" s="680"/>
    </row>
    <row r="2109" spans="1:2">
      <c r="A2109" s="126"/>
      <c r="B2109" s="680"/>
    </row>
    <row r="2110" spans="1:2">
      <c r="A2110" s="126"/>
      <c r="B2110" s="680"/>
    </row>
    <row r="2111" spans="1:2">
      <c r="A2111" s="126"/>
      <c r="B2111" s="680"/>
    </row>
    <row r="2112" spans="1:2">
      <c r="A2112" s="126"/>
      <c r="B2112" s="680"/>
    </row>
    <row r="2113" spans="1:2">
      <c r="A2113" s="126"/>
      <c r="B2113" s="680"/>
    </row>
    <row r="2114" spans="1:2">
      <c r="A2114" s="126"/>
      <c r="B2114" s="680"/>
    </row>
    <row r="2115" spans="1:2">
      <c r="A2115" s="126"/>
      <c r="B2115" s="680"/>
    </row>
    <row r="2116" spans="1:2">
      <c r="A2116" s="126"/>
      <c r="B2116" s="680"/>
    </row>
    <row r="2117" spans="1:2">
      <c r="A2117" s="126"/>
      <c r="B2117" s="680"/>
    </row>
    <row r="2118" spans="1:2">
      <c r="A2118" s="126"/>
      <c r="B2118" s="680"/>
    </row>
    <row r="2119" spans="1:2">
      <c r="A2119" s="126"/>
      <c r="B2119" s="680"/>
    </row>
    <row r="2120" spans="1:2">
      <c r="A2120" s="126"/>
      <c r="B2120" s="680"/>
    </row>
    <row r="2121" spans="1:2">
      <c r="A2121" s="126"/>
      <c r="B2121" s="680"/>
    </row>
    <row r="2122" spans="1:2">
      <c r="A2122" s="126"/>
      <c r="B2122" s="680"/>
    </row>
    <row r="2123" spans="1:2">
      <c r="A2123" s="126"/>
      <c r="B2123" s="680"/>
    </row>
    <row r="2124" spans="1:2">
      <c r="A2124" s="126"/>
      <c r="B2124" s="680"/>
    </row>
    <row r="2125" spans="1:2">
      <c r="A2125" s="126"/>
      <c r="B2125" s="680"/>
    </row>
    <row r="2126" spans="1:2">
      <c r="A2126" s="126"/>
      <c r="B2126" s="680"/>
    </row>
    <row r="2127" spans="1:2">
      <c r="A2127" s="126"/>
      <c r="B2127" s="680"/>
    </row>
    <row r="2128" spans="1:2">
      <c r="A2128" s="126"/>
      <c r="B2128" s="680"/>
    </row>
    <row r="2129" spans="1:2">
      <c r="A2129" s="126"/>
      <c r="B2129" s="680"/>
    </row>
    <row r="2130" spans="1:2">
      <c r="A2130" s="126"/>
      <c r="B2130" s="680"/>
    </row>
    <row r="2131" spans="1:2">
      <c r="A2131" s="126"/>
      <c r="B2131" s="680"/>
    </row>
    <row r="2132" spans="1:2">
      <c r="A2132" s="126"/>
      <c r="B2132" s="680"/>
    </row>
    <row r="2133" spans="1:2">
      <c r="A2133" s="126"/>
      <c r="B2133" s="680"/>
    </row>
    <row r="2134" spans="1:2">
      <c r="A2134" s="126"/>
      <c r="B2134" s="680"/>
    </row>
    <row r="2135" spans="1:2">
      <c r="A2135" s="126"/>
      <c r="B2135" s="680"/>
    </row>
    <row r="2136" spans="1:2">
      <c r="A2136" s="126"/>
      <c r="B2136" s="680"/>
    </row>
    <row r="2137" spans="1:2">
      <c r="A2137" s="126"/>
      <c r="B2137" s="680"/>
    </row>
    <row r="2138" spans="1:2">
      <c r="A2138" s="126"/>
      <c r="B2138" s="680"/>
    </row>
    <row r="2139" spans="1:2">
      <c r="A2139" s="126"/>
      <c r="B2139" s="680"/>
    </row>
    <row r="2140" spans="1:2">
      <c r="A2140" s="126"/>
      <c r="B2140" s="680"/>
    </row>
    <row r="2141" spans="1:2">
      <c r="A2141" s="126"/>
      <c r="B2141" s="680"/>
    </row>
    <row r="2142" spans="1:2">
      <c r="A2142" s="126"/>
      <c r="B2142" s="680"/>
    </row>
    <row r="2143" spans="1:2">
      <c r="A2143" s="126"/>
      <c r="B2143" s="680"/>
    </row>
    <row r="2144" spans="1:2">
      <c r="A2144" s="126"/>
      <c r="B2144" s="680"/>
    </row>
    <row r="2145" spans="1:2">
      <c r="A2145" s="126"/>
      <c r="B2145" s="680"/>
    </row>
    <row r="2146" spans="1:2">
      <c r="A2146" s="126"/>
      <c r="B2146" s="680"/>
    </row>
    <row r="2147" spans="1:2">
      <c r="A2147" s="126"/>
      <c r="B2147" s="680"/>
    </row>
    <row r="2148" spans="1:2">
      <c r="A2148" s="126"/>
      <c r="B2148" s="680"/>
    </row>
    <row r="2149" spans="1:2">
      <c r="A2149" s="126"/>
      <c r="B2149" s="680"/>
    </row>
    <row r="2150" spans="1:2">
      <c r="A2150" s="126"/>
      <c r="B2150" s="680"/>
    </row>
    <row r="2151" spans="1:2">
      <c r="A2151" s="126"/>
      <c r="B2151" s="680"/>
    </row>
    <row r="2152" spans="1:2">
      <c r="A2152" s="126"/>
      <c r="B2152" s="680"/>
    </row>
    <row r="2153" spans="1:2">
      <c r="A2153" s="126"/>
      <c r="B2153" s="680"/>
    </row>
    <row r="2154" spans="1:2">
      <c r="A2154" s="126"/>
      <c r="B2154" s="680"/>
    </row>
    <row r="2155" spans="1:2">
      <c r="A2155" s="126"/>
      <c r="B2155" s="680"/>
    </row>
    <row r="2156" spans="1:2">
      <c r="A2156" s="126"/>
      <c r="B2156" s="680"/>
    </row>
    <row r="2157" spans="1:2">
      <c r="A2157" s="126"/>
      <c r="B2157" s="680"/>
    </row>
    <row r="2158" spans="1:2">
      <c r="A2158" s="126"/>
      <c r="B2158" s="680"/>
    </row>
    <row r="2159" spans="1:2">
      <c r="A2159" s="126"/>
      <c r="B2159" s="680"/>
    </row>
    <row r="2160" spans="1:2">
      <c r="A2160" s="126"/>
      <c r="B2160" s="680"/>
    </row>
    <row r="2161" spans="1:2">
      <c r="A2161" s="126"/>
      <c r="B2161" s="680"/>
    </row>
    <row r="2162" spans="1:2">
      <c r="A2162" s="126"/>
      <c r="B2162" s="680"/>
    </row>
    <row r="2163" spans="1:2">
      <c r="A2163" s="126"/>
      <c r="B2163" s="680"/>
    </row>
    <row r="2164" spans="1:2">
      <c r="A2164" s="126"/>
      <c r="B2164" s="680"/>
    </row>
    <row r="2165" spans="1:2">
      <c r="A2165" s="126"/>
      <c r="B2165" s="680"/>
    </row>
    <row r="2166" spans="1:2">
      <c r="A2166" s="126"/>
      <c r="B2166" s="680"/>
    </row>
    <row r="2167" spans="1:2">
      <c r="A2167" s="126"/>
      <c r="B2167" s="680"/>
    </row>
    <row r="2168" spans="1:2">
      <c r="A2168" s="126"/>
      <c r="B2168" s="680"/>
    </row>
    <row r="2169" spans="1:2">
      <c r="A2169" s="126"/>
      <c r="B2169" s="680"/>
    </row>
    <row r="2170" spans="1:2">
      <c r="A2170" s="126"/>
      <c r="B2170" s="680"/>
    </row>
    <row r="2171" spans="1:2">
      <c r="A2171" s="126"/>
      <c r="B2171" s="680"/>
    </row>
    <row r="2172" spans="1:2">
      <c r="A2172" s="126"/>
      <c r="B2172" s="680"/>
    </row>
    <row r="2173" spans="1:2">
      <c r="A2173" s="126"/>
      <c r="B2173" s="680"/>
    </row>
    <row r="2174" spans="1:2">
      <c r="A2174" s="126"/>
      <c r="B2174" s="680"/>
    </row>
    <row r="2175" spans="1:2">
      <c r="A2175" s="126"/>
      <c r="B2175" s="680"/>
    </row>
    <row r="2176" spans="1:2">
      <c r="A2176" s="126"/>
      <c r="B2176" s="680"/>
    </row>
    <row r="2177" spans="1:2">
      <c r="A2177" s="126"/>
      <c r="B2177" s="680"/>
    </row>
    <row r="2178" spans="1:2">
      <c r="A2178" s="126"/>
      <c r="B2178" s="680"/>
    </row>
    <row r="2179" spans="1:2">
      <c r="A2179" s="126"/>
      <c r="B2179" s="680"/>
    </row>
    <row r="2180" spans="1:2">
      <c r="A2180" s="126"/>
      <c r="B2180" s="680"/>
    </row>
    <row r="2181" spans="1:2">
      <c r="A2181" s="126"/>
      <c r="B2181" s="680"/>
    </row>
    <row r="2182" spans="1:2">
      <c r="A2182" s="126"/>
      <c r="B2182" s="680"/>
    </row>
    <row r="2183" spans="1:2">
      <c r="A2183" s="126"/>
      <c r="B2183" s="680"/>
    </row>
    <row r="2184" spans="1:2">
      <c r="A2184" s="126"/>
      <c r="B2184" s="680"/>
    </row>
    <row r="2185" spans="1:2">
      <c r="A2185" s="126"/>
      <c r="B2185" s="680"/>
    </row>
    <row r="2186" spans="1:2">
      <c r="A2186" s="126"/>
      <c r="B2186" s="680"/>
    </row>
    <row r="2187" spans="1:2">
      <c r="A2187" s="126"/>
      <c r="B2187" s="680"/>
    </row>
    <row r="2188" spans="1:2">
      <c r="A2188" s="126"/>
      <c r="B2188" s="680"/>
    </row>
    <row r="2189" spans="1:2">
      <c r="A2189" s="126"/>
      <c r="B2189" s="680"/>
    </row>
    <row r="2190" spans="1:2">
      <c r="A2190" s="126"/>
      <c r="B2190" s="680"/>
    </row>
    <row r="2191" spans="1:2">
      <c r="A2191" s="126"/>
      <c r="B2191" s="680"/>
    </row>
    <row r="2192" spans="1:2">
      <c r="A2192" s="126"/>
      <c r="B2192" s="680"/>
    </row>
    <row r="2193" spans="1:2">
      <c r="A2193" s="126"/>
      <c r="B2193" s="680"/>
    </row>
    <row r="2194" spans="1:2">
      <c r="A2194" s="126"/>
      <c r="B2194" s="680"/>
    </row>
    <row r="2195" spans="1:2">
      <c r="A2195" s="126"/>
      <c r="B2195" s="680"/>
    </row>
    <row r="2196" spans="1:2">
      <c r="A2196" s="126"/>
      <c r="B2196" s="680"/>
    </row>
    <row r="2197" spans="1:2">
      <c r="A2197" s="126"/>
      <c r="B2197" s="680"/>
    </row>
    <row r="2198" spans="1:2">
      <c r="A2198" s="126"/>
      <c r="B2198" s="680"/>
    </row>
    <row r="2199" spans="1:2">
      <c r="A2199" s="126"/>
      <c r="B2199" s="680"/>
    </row>
    <row r="2200" spans="1:2">
      <c r="A2200" s="126"/>
      <c r="B2200" s="680"/>
    </row>
    <row r="2201" spans="1:2">
      <c r="A2201" s="126"/>
      <c r="B2201" s="680"/>
    </row>
    <row r="2202" spans="1:2">
      <c r="A2202" s="126"/>
      <c r="B2202" s="680"/>
    </row>
    <row r="2203" spans="1:2">
      <c r="A2203" s="126"/>
      <c r="B2203" s="680"/>
    </row>
    <row r="2204" spans="1:2">
      <c r="A2204" s="126"/>
      <c r="B2204" s="680"/>
    </row>
    <row r="2205" spans="1:2">
      <c r="A2205" s="126"/>
      <c r="B2205" s="680"/>
    </row>
    <row r="2206" spans="1:2">
      <c r="A2206" s="126"/>
      <c r="B2206" s="680"/>
    </row>
    <row r="2207" spans="1:2">
      <c r="A2207" s="126"/>
      <c r="B2207" s="680"/>
    </row>
    <row r="2208" spans="1:2">
      <c r="A2208" s="126"/>
      <c r="B2208" s="680"/>
    </row>
    <row r="2209" spans="1:2">
      <c r="A2209" s="126"/>
      <c r="B2209" s="680"/>
    </row>
    <row r="2210" spans="1:2">
      <c r="A2210" s="126"/>
      <c r="B2210" s="680"/>
    </row>
    <row r="2211" spans="1:2">
      <c r="A2211" s="126"/>
      <c r="B2211" s="680"/>
    </row>
    <row r="2212" spans="1:2">
      <c r="A2212" s="126"/>
      <c r="B2212" s="680"/>
    </row>
    <row r="2213" spans="1:2">
      <c r="A2213" s="126"/>
      <c r="B2213" s="680"/>
    </row>
    <row r="2214" spans="1:2">
      <c r="A2214" s="126"/>
      <c r="B2214" s="680"/>
    </row>
    <row r="2215" spans="1:2">
      <c r="A2215" s="126"/>
      <c r="B2215" s="680"/>
    </row>
    <row r="2216" spans="1:2">
      <c r="A2216" s="126"/>
      <c r="B2216" s="680"/>
    </row>
    <row r="2217" spans="1:2">
      <c r="A2217" s="126"/>
      <c r="B2217" s="680"/>
    </row>
    <row r="2218" spans="1:2">
      <c r="A2218" s="126"/>
      <c r="B2218" s="680"/>
    </row>
    <row r="2219" spans="1:2">
      <c r="A2219" s="126"/>
      <c r="B2219" s="680"/>
    </row>
    <row r="2220" spans="1:2">
      <c r="A2220" s="126"/>
      <c r="B2220" s="680"/>
    </row>
    <row r="2221" spans="1:2">
      <c r="A2221" s="126"/>
      <c r="B2221" s="680"/>
    </row>
    <row r="2222" spans="1:2">
      <c r="A2222" s="126"/>
      <c r="B2222" s="680"/>
    </row>
    <row r="2223" spans="1:2">
      <c r="A2223" s="126"/>
      <c r="B2223" s="680"/>
    </row>
    <row r="2224" spans="1:2">
      <c r="A2224" s="126"/>
      <c r="B2224" s="680"/>
    </row>
    <row r="2225" spans="1:2">
      <c r="A2225" s="126"/>
      <c r="B2225" s="680"/>
    </row>
    <row r="2226" spans="1:2">
      <c r="A2226" s="126"/>
      <c r="B2226" s="680"/>
    </row>
    <row r="2227" spans="1:2">
      <c r="A2227" s="126"/>
      <c r="B2227" s="680"/>
    </row>
    <row r="2228" spans="1:2">
      <c r="A2228" s="126"/>
      <c r="B2228" s="680"/>
    </row>
    <row r="2229" spans="1:2">
      <c r="A2229" s="126"/>
      <c r="B2229" s="680"/>
    </row>
    <row r="2230" spans="1:2">
      <c r="A2230" s="126"/>
      <c r="B2230" s="680"/>
    </row>
    <row r="2231" spans="1:2">
      <c r="A2231" s="126"/>
      <c r="B2231" s="680"/>
    </row>
    <row r="2232" spans="1:2">
      <c r="A2232" s="126"/>
      <c r="B2232" s="680"/>
    </row>
    <row r="2233" spans="1:2">
      <c r="A2233" s="126"/>
      <c r="B2233" s="680"/>
    </row>
    <row r="2234" spans="1:2">
      <c r="A2234" s="126"/>
      <c r="B2234" s="680"/>
    </row>
    <row r="2235" spans="1:2">
      <c r="A2235" s="126"/>
      <c r="B2235" s="680"/>
    </row>
    <row r="2236" spans="1:2">
      <c r="A2236" s="126"/>
      <c r="B2236" s="680"/>
    </row>
    <row r="2237" spans="1:2">
      <c r="A2237" s="126"/>
      <c r="B2237" s="680"/>
    </row>
    <row r="2238" spans="1:2">
      <c r="A2238" s="126"/>
      <c r="B2238" s="680"/>
    </row>
    <row r="2239" spans="1:2">
      <c r="A2239" s="126"/>
      <c r="B2239" s="680"/>
    </row>
    <row r="2240" spans="1:2">
      <c r="A2240" s="126"/>
      <c r="B2240" s="680"/>
    </row>
    <row r="2241" spans="1:2">
      <c r="A2241" s="126"/>
      <c r="B2241" s="680"/>
    </row>
    <row r="2242" spans="1:2">
      <c r="A2242" s="126"/>
      <c r="B2242" s="680"/>
    </row>
    <row r="2243" spans="1:2">
      <c r="A2243" s="126"/>
      <c r="B2243" s="680"/>
    </row>
    <row r="2244" spans="1:2">
      <c r="A2244" s="126"/>
      <c r="B2244" s="680"/>
    </row>
    <row r="2245" spans="1:2">
      <c r="A2245" s="126"/>
      <c r="B2245" s="680"/>
    </row>
    <row r="2246" spans="1:2">
      <c r="A2246" s="126"/>
      <c r="B2246" s="680"/>
    </row>
    <row r="2247" spans="1:2">
      <c r="A2247" s="126"/>
      <c r="B2247" s="680"/>
    </row>
    <row r="2248" spans="1:2">
      <c r="A2248" s="126"/>
      <c r="B2248" s="680"/>
    </row>
    <row r="2249" spans="1:2">
      <c r="A2249" s="126"/>
      <c r="B2249" s="680"/>
    </row>
    <row r="2250" spans="1:2">
      <c r="A2250" s="126"/>
      <c r="B2250" s="680"/>
    </row>
    <row r="2251" spans="1:2">
      <c r="A2251" s="126"/>
      <c r="B2251" s="680"/>
    </row>
    <row r="2252" spans="1:2">
      <c r="A2252" s="126"/>
      <c r="B2252" s="680"/>
    </row>
    <row r="2253" spans="1:2">
      <c r="A2253" s="126"/>
      <c r="B2253" s="680"/>
    </row>
    <row r="2254" spans="1:2">
      <c r="A2254" s="126"/>
      <c r="B2254" s="680"/>
    </row>
    <row r="2255" spans="1:2">
      <c r="A2255" s="126"/>
      <c r="B2255" s="680"/>
    </row>
    <row r="2256" spans="1:2">
      <c r="A2256" s="126"/>
      <c r="B2256" s="680"/>
    </row>
    <row r="2257" spans="1:2">
      <c r="A2257" s="126"/>
      <c r="B2257" s="680"/>
    </row>
    <row r="2258" spans="1:2">
      <c r="A2258" s="126"/>
      <c r="B2258" s="680"/>
    </row>
    <row r="2259" spans="1:2">
      <c r="A2259" s="126"/>
      <c r="B2259" s="680"/>
    </row>
    <row r="2260" spans="1:2">
      <c r="A2260" s="126"/>
      <c r="B2260" s="680"/>
    </row>
    <row r="2261" spans="1:2">
      <c r="A2261" s="126"/>
      <c r="B2261" s="680"/>
    </row>
    <row r="2262" spans="1:2">
      <c r="A2262" s="126"/>
      <c r="B2262" s="680"/>
    </row>
    <row r="2263" spans="1:2">
      <c r="A2263" s="126"/>
      <c r="B2263" s="680"/>
    </row>
    <row r="2264" spans="1:2">
      <c r="A2264" s="126"/>
      <c r="B2264" s="680"/>
    </row>
    <row r="2265" spans="1:2">
      <c r="A2265" s="126"/>
      <c r="B2265" s="680"/>
    </row>
    <row r="2266" spans="1:2">
      <c r="A2266" s="126"/>
      <c r="B2266" s="680"/>
    </row>
    <row r="2267" spans="1:2">
      <c r="A2267" s="126"/>
      <c r="B2267" s="680"/>
    </row>
    <row r="2268" spans="1:2">
      <c r="A2268" s="126"/>
      <c r="B2268" s="680"/>
    </row>
    <row r="2269" spans="1:2">
      <c r="A2269" s="126"/>
      <c r="B2269" s="680"/>
    </row>
    <row r="2270" spans="1:2">
      <c r="A2270" s="126"/>
      <c r="B2270" s="680"/>
    </row>
    <row r="2271" spans="1:2">
      <c r="A2271" s="126"/>
      <c r="B2271" s="680"/>
    </row>
    <row r="2272" spans="1:2">
      <c r="A2272" s="126"/>
      <c r="B2272" s="680"/>
    </row>
    <row r="2273" spans="1:2">
      <c r="A2273" s="126"/>
      <c r="B2273" s="680"/>
    </row>
    <row r="2274" spans="1:2">
      <c r="A2274" s="126"/>
      <c r="B2274" s="680"/>
    </row>
    <row r="2275" spans="1:2">
      <c r="A2275" s="126"/>
      <c r="B2275" s="680"/>
    </row>
    <row r="2276" spans="1:2">
      <c r="A2276" s="126"/>
      <c r="B2276" s="680"/>
    </row>
    <row r="2277" spans="1:2">
      <c r="A2277" s="126"/>
      <c r="B2277" s="680"/>
    </row>
    <row r="2278" spans="1:2">
      <c r="A2278" s="126"/>
      <c r="B2278" s="680"/>
    </row>
    <row r="2279" spans="1:2">
      <c r="A2279" s="126"/>
      <c r="B2279" s="680"/>
    </row>
    <row r="2280" spans="1:2">
      <c r="A2280" s="126"/>
      <c r="B2280" s="680"/>
    </row>
    <row r="2281" spans="1:2">
      <c r="A2281" s="126"/>
      <c r="B2281" s="680"/>
    </row>
    <row r="2282" spans="1:2">
      <c r="A2282" s="126"/>
      <c r="B2282" s="680"/>
    </row>
    <row r="2283" spans="1:2">
      <c r="A2283" s="126"/>
      <c r="B2283" s="680"/>
    </row>
    <row r="2284" spans="1:2">
      <c r="A2284" s="126"/>
      <c r="B2284" s="680"/>
    </row>
    <row r="2285" spans="1:2">
      <c r="A2285" s="126"/>
      <c r="B2285" s="680"/>
    </row>
    <row r="2286" spans="1:2">
      <c r="A2286" s="126"/>
      <c r="B2286" s="680"/>
    </row>
    <row r="2287" spans="1:2">
      <c r="A2287" s="126"/>
      <c r="B2287" s="680"/>
    </row>
    <row r="2288" spans="1:2">
      <c r="A2288" s="126"/>
      <c r="B2288" s="680"/>
    </row>
    <row r="2289" spans="1:2">
      <c r="A2289" s="126"/>
      <c r="B2289" s="680"/>
    </row>
    <row r="2290" spans="1:2">
      <c r="A2290" s="126"/>
      <c r="B2290" s="680"/>
    </row>
    <row r="2291" spans="1:2">
      <c r="A2291" s="126"/>
      <c r="B2291" s="680"/>
    </row>
    <row r="2292" spans="1:2">
      <c r="A2292" s="126"/>
      <c r="B2292" s="680"/>
    </row>
    <row r="2293" spans="1:2">
      <c r="A2293" s="126"/>
      <c r="B2293" s="680"/>
    </row>
    <row r="2294" spans="1:2">
      <c r="A2294" s="126"/>
      <c r="B2294" s="680"/>
    </row>
    <row r="2295" spans="1:2">
      <c r="A2295" s="126"/>
      <c r="B2295" s="680"/>
    </row>
    <row r="2296" spans="1:2">
      <c r="A2296" s="126"/>
      <c r="B2296" s="680"/>
    </row>
    <row r="2297" spans="1:2">
      <c r="A2297" s="126"/>
      <c r="B2297" s="680"/>
    </row>
    <row r="2298" spans="1:2">
      <c r="A2298" s="126"/>
      <c r="B2298" s="680"/>
    </row>
    <row r="2299" spans="1:2">
      <c r="A2299" s="126"/>
      <c r="B2299" s="680"/>
    </row>
    <row r="2300" spans="1:2">
      <c r="A2300" s="126"/>
      <c r="B2300" s="680"/>
    </row>
    <row r="2301" spans="1:2">
      <c r="A2301" s="126"/>
      <c r="B2301" s="680"/>
    </row>
    <row r="2302" spans="1:2">
      <c r="A2302" s="126"/>
      <c r="B2302" s="680"/>
    </row>
    <row r="2303" spans="1:2">
      <c r="A2303" s="126"/>
      <c r="B2303" s="680"/>
    </row>
    <row r="2304" spans="1:2">
      <c r="A2304" s="126"/>
      <c r="B2304" s="680"/>
    </row>
    <row r="2305" spans="1:2">
      <c r="A2305" s="126"/>
      <c r="B2305" s="680"/>
    </row>
    <row r="2306" spans="1:2">
      <c r="A2306" s="126"/>
      <c r="B2306" s="680"/>
    </row>
    <row r="2307" spans="1:2">
      <c r="A2307" s="126"/>
      <c r="B2307" s="680"/>
    </row>
    <row r="2308" spans="1:2">
      <c r="A2308" s="126"/>
      <c r="B2308" s="680"/>
    </row>
    <row r="2309" spans="1:2">
      <c r="A2309" s="126"/>
      <c r="B2309" s="680"/>
    </row>
    <row r="2310" spans="1:2">
      <c r="A2310" s="126"/>
      <c r="B2310" s="680"/>
    </row>
    <row r="2311" spans="1:2">
      <c r="A2311" s="126"/>
      <c r="B2311" s="680"/>
    </row>
    <row r="2312" spans="1:2">
      <c r="A2312" s="126"/>
      <c r="B2312" s="680"/>
    </row>
    <row r="2313" spans="1:2">
      <c r="A2313" s="126"/>
      <c r="B2313" s="680"/>
    </row>
    <row r="2314" spans="1:2">
      <c r="A2314" s="126"/>
      <c r="B2314" s="680"/>
    </row>
    <row r="2315" spans="1:2">
      <c r="A2315" s="126"/>
      <c r="B2315" s="680"/>
    </row>
    <row r="2316" spans="1:2">
      <c r="A2316" s="126"/>
      <c r="B2316" s="680"/>
    </row>
    <row r="2317" spans="1:2">
      <c r="A2317" s="126"/>
      <c r="B2317" s="680"/>
    </row>
    <row r="2318" spans="1:2">
      <c r="A2318" s="126"/>
      <c r="B2318" s="680"/>
    </row>
    <row r="2319" spans="1:2">
      <c r="A2319" s="126"/>
      <c r="B2319" s="680"/>
    </row>
    <row r="2320" spans="1:2">
      <c r="A2320" s="126"/>
      <c r="B2320" s="680"/>
    </row>
    <row r="2321" spans="1:2">
      <c r="A2321" s="126"/>
      <c r="B2321" s="680"/>
    </row>
    <row r="2322" spans="1:2">
      <c r="A2322" s="126"/>
      <c r="B2322" s="680"/>
    </row>
    <row r="2323" spans="1:2">
      <c r="A2323" s="126"/>
      <c r="B2323" s="680"/>
    </row>
    <row r="2324" spans="1:2">
      <c r="A2324" s="126"/>
      <c r="B2324" s="680"/>
    </row>
    <row r="2325" spans="1:2">
      <c r="A2325" s="126"/>
      <c r="B2325" s="680"/>
    </row>
    <row r="2326" spans="1:2">
      <c r="A2326" s="126"/>
      <c r="B2326" s="680"/>
    </row>
    <row r="2327" spans="1:2">
      <c r="A2327" s="126"/>
      <c r="B2327" s="680"/>
    </row>
    <row r="2328" spans="1:2">
      <c r="A2328" s="126"/>
      <c r="B2328" s="680"/>
    </row>
    <row r="2329" spans="1:2">
      <c r="A2329" s="126"/>
      <c r="B2329" s="680"/>
    </row>
    <row r="2330" spans="1:2">
      <c r="A2330" s="126"/>
      <c r="B2330" s="680"/>
    </row>
    <row r="2331" spans="1:2">
      <c r="A2331" s="126"/>
      <c r="B2331" s="680"/>
    </row>
    <row r="2332" spans="1:2">
      <c r="A2332" s="126"/>
      <c r="B2332" s="680"/>
    </row>
    <row r="2333" spans="1:2">
      <c r="A2333" s="126"/>
      <c r="B2333" s="680"/>
    </row>
    <row r="2334" spans="1:2">
      <c r="A2334" s="126"/>
      <c r="B2334" s="680"/>
    </row>
    <row r="2335" spans="1:2">
      <c r="A2335" s="126"/>
      <c r="B2335" s="680"/>
    </row>
    <row r="2336" spans="1:2">
      <c r="A2336" s="126"/>
      <c r="B2336" s="680"/>
    </row>
    <row r="2337" spans="1:2">
      <c r="A2337" s="126"/>
      <c r="B2337" s="680"/>
    </row>
    <row r="2338" spans="1:2">
      <c r="A2338" s="126"/>
      <c r="B2338" s="680"/>
    </row>
    <row r="2339" spans="1:2">
      <c r="A2339" s="126"/>
      <c r="B2339" s="680"/>
    </row>
    <row r="2340" spans="1:2">
      <c r="A2340" s="126"/>
      <c r="B2340" s="680"/>
    </row>
    <row r="2341" spans="1:2">
      <c r="A2341" s="126"/>
      <c r="B2341" s="680"/>
    </row>
    <row r="2342" spans="1:2">
      <c r="A2342" s="126"/>
      <c r="B2342" s="680"/>
    </row>
    <row r="2343" spans="1:2">
      <c r="A2343" s="126"/>
      <c r="B2343" s="680"/>
    </row>
    <row r="2344" spans="1:2">
      <c r="A2344" s="126"/>
      <c r="B2344" s="680"/>
    </row>
    <row r="2345" spans="1:2">
      <c r="A2345" s="126"/>
      <c r="B2345" s="680"/>
    </row>
    <row r="2346" spans="1:2">
      <c r="A2346" s="126"/>
      <c r="B2346" s="680"/>
    </row>
    <row r="2347" spans="1:2">
      <c r="A2347" s="126"/>
      <c r="B2347" s="680"/>
    </row>
    <row r="2348" spans="1:2">
      <c r="A2348" s="126"/>
      <c r="B2348" s="680"/>
    </row>
    <row r="2349" spans="1:2">
      <c r="A2349" s="126"/>
      <c r="B2349" s="680"/>
    </row>
    <row r="2350" spans="1:2">
      <c r="A2350" s="126"/>
      <c r="B2350" s="680"/>
    </row>
    <row r="2351" spans="1:2">
      <c r="A2351" s="126"/>
      <c r="B2351" s="680"/>
    </row>
    <row r="2352" spans="1:2">
      <c r="A2352" s="126"/>
      <c r="B2352" s="680"/>
    </row>
    <row r="2353" spans="1:2">
      <c r="A2353" s="126"/>
      <c r="B2353" s="680"/>
    </row>
    <row r="2354" spans="1:2">
      <c r="A2354" s="126"/>
      <c r="B2354" s="680"/>
    </row>
    <row r="2355" spans="1:2">
      <c r="A2355" s="126"/>
      <c r="B2355" s="680"/>
    </row>
    <row r="2356" spans="1:2">
      <c r="A2356" s="126"/>
      <c r="B2356" s="680"/>
    </row>
    <row r="2357" spans="1:2">
      <c r="A2357" s="126"/>
      <c r="B2357" s="680"/>
    </row>
    <row r="2358" spans="1:2">
      <c r="A2358" s="126"/>
      <c r="B2358" s="680"/>
    </row>
    <row r="2359" spans="1:2">
      <c r="A2359" s="126"/>
      <c r="B2359" s="680"/>
    </row>
    <row r="2360" spans="1:2">
      <c r="A2360" s="126"/>
      <c r="B2360" s="680"/>
    </row>
    <row r="2361" spans="1:2">
      <c r="A2361" s="126"/>
      <c r="B2361" s="680"/>
    </row>
    <row r="2362" spans="1:2">
      <c r="A2362" s="126"/>
      <c r="B2362" s="680"/>
    </row>
    <row r="2363" spans="1:2">
      <c r="A2363" s="126"/>
      <c r="B2363" s="680"/>
    </row>
    <row r="2364" spans="1:2">
      <c r="A2364" s="126"/>
      <c r="B2364" s="680"/>
    </row>
    <row r="2365" spans="1:2">
      <c r="A2365" s="126"/>
      <c r="B2365" s="680"/>
    </row>
    <row r="2366" spans="1:2">
      <c r="A2366" s="126"/>
      <c r="B2366" s="680"/>
    </row>
    <row r="2367" spans="1:2">
      <c r="A2367" s="126"/>
      <c r="B2367" s="680"/>
    </row>
    <row r="2368" spans="1:2">
      <c r="A2368" s="126"/>
      <c r="B2368" s="680"/>
    </row>
    <row r="2369" spans="1:2">
      <c r="A2369" s="126"/>
      <c r="B2369" s="680"/>
    </row>
    <row r="2370" spans="1:2">
      <c r="A2370" s="126"/>
      <c r="B2370" s="680"/>
    </row>
    <row r="2371" spans="1:2">
      <c r="A2371" s="126"/>
      <c r="B2371" s="680"/>
    </row>
    <row r="2372" spans="1:2">
      <c r="A2372" s="126"/>
      <c r="B2372" s="680"/>
    </row>
    <row r="2373" spans="1:2">
      <c r="A2373" s="126"/>
      <c r="B2373" s="680"/>
    </row>
    <row r="2374" spans="1:2">
      <c r="A2374" s="126"/>
      <c r="B2374" s="680"/>
    </row>
    <row r="2375" spans="1:2">
      <c r="A2375" s="126"/>
      <c r="B2375" s="680"/>
    </row>
    <row r="2376" spans="1:2">
      <c r="A2376" s="126"/>
      <c r="B2376" s="680"/>
    </row>
    <row r="2377" spans="1:2">
      <c r="A2377" s="126"/>
      <c r="B2377" s="680"/>
    </row>
    <row r="2378" spans="1:2">
      <c r="A2378" s="126"/>
      <c r="B2378" s="680"/>
    </row>
    <row r="2379" spans="1:2">
      <c r="A2379" s="126"/>
      <c r="B2379" s="680"/>
    </row>
    <row r="2380" spans="1:2">
      <c r="A2380" s="126"/>
      <c r="B2380" s="680"/>
    </row>
    <row r="2381" spans="1:2">
      <c r="A2381" s="126"/>
      <c r="B2381" s="680"/>
    </row>
    <row r="2382" spans="1:2">
      <c r="A2382" s="126"/>
      <c r="B2382" s="680"/>
    </row>
    <row r="2383" spans="1:2">
      <c r="A2383" s="126"/>
      <c r="B2383" s="680"/>
    </row>
    <row r="2384" spans="1:2">
      <c r="A2384" s="126"/>
      <c r="B2384" s="680"/>
    </row>
    <row r="2385" spans="1:2">
      <c r="A2385" s="126"/>
      <c r="B2385" s="680"/>
    </row>
    <row r="2386" spans="1:2">
      <c r="A2386" s="126"/>
      <c r="B2386" s="680"/>
    </row>
    <row r="2387" spans="1:2">
      <c r="A2387" s="126"/>
      <c r="B2387" s="680"/>
    </row>
    <row r="2388" spans="1:2">
      <c r="A2388" s="126"/>
      <c r="B2388" s="680"/>
    </row>
    <row r="2389" spans="1:2">
      <c r="A2389" s="126"/>
      <c r="B2389" s="680"/>
    </row>
    <row r="2390" spans="1:2">
      <c r="A2390" s="126"/>
      <c r="B2390" s="680"/>
    </row>
    <row r="2391" spans="1:2">
      <c r="A2391" s="126"/>
      <c r="B2391" s="680"/>
    </row>
    <row r="2392" spans="1:2">
      <c r="A2392" s="126"/>
      <c r="B2392" s="680"/>
    </row>
    <row r="2393" spans="1:2">
      <c r="A2393" s="126"/>
      <c r="B2393" s="680"/>
    </row>
    <row r="2394" spans="1:2">
      <c r="A2394" s="126"/>
      <c r="B2394" s="680"/>
    </row>
    <row r="2395" spans="1:2">
      <c r="A2395" s="126"/>
      <c r="B2395" s="680"/>
    </row>
    <row r="2396" spans="1:2">
      <c r="A2396" s="126"/>
      <c r="B2396" s="680"/>
    </row>
    <row r="2397" spans="1:2">
      <c r="A2397" s="126"/>
      <c r="B2397" s="680"/>
    </row>
    <row r="2398" spans="1:2">
      <c r="A2398" s="126"/>
      <c r="B2398" s="680"/>
    </row>
    <row r="2399" spans="1:2">
      <c r="A2399" s="126"/>
      <c r="B2399" s="680"/>
    </row>
    <row r="2400" spans="1:2">
      <c r="A2400" s="126"/>
      <c r="B2400" s="680"/>
    </row>
    <row r="2401" spans="1:2">
      <c r="A2401" s="126"/>
      <c r="B2401" s="680"/>
    </row>
    <row r="2402" spans="1:2">
      <c r="A2402" s="126"/>
      <c r="B2402" s="680"/>
    </row>
    <row r="2403" spans="1:2">
      <c r="A2403" s="126"/>
      <c r="B2403" s="680"/>
    </row>
    <row r="2404" spans="1:2">
      <c r="A2404" s="126"/>
      <c r="B2404" s="680"/>
    </row>
    <row r="2405" spans="1:2">
      <c r="A2405" s="126"/>
      <c r="B2405" s="680"/>
    </row>
    <row r="2406" spans="1:2">
      <c r="A2406" s="126"/>
      <c r="B2406" s="680"/>
    </row>
    <row r="2407" spans="1:2">
      <c r="A2407" s="126"/>
      <c r="B2407" s="680"/>
    </row>
    <row r="2408" spans="1:2">
      <c r="A2408" s="126"/>
      <c r="B2408" s="680"/>
    </row>
    <row r="2409" spans="1:2">
      <c r="A2409" s="126"/>
      <c r="B2409" s="680"/>
    </row>
    <row r="2410" spans="1:2">
      <c r="A2410" s="126"/>
      <c r="B2410" s="680"/>
    </row>
    <row r="2411" spans="1:2">
      <c r="A2411" s="126"/>
      <c r="B2411" s="680"/>
    </row>
    <row r="2412" spans="1:2">
      <c r="A2412" s="126"/>
      <c r="B2412" s="680"/>
    </row>
    <row r="2413" spans="1:2">
      <c r="A2413" s="126"/>
      <c r="B2413" s="680"/>
    </row>
    <row r="2414" spans="1:2">
      <c r="A2414" s="126"/>
      <c r="B2414" s="680"/>
    </row>
    <row r="2415" spans="1:2">
      <c r="A2415" s="126"/>
      <c r="B2415" s="680"/>
    </row>
    <row r="2416" spans="1:2">
      <c r="A2416" s="126"/>
      <c r="B2416" s="680"/>
    </row>
    <row r="2417" spans="1:2">
      <c r="A2417" s="126"/>
      <c r="B2417" s="680"/>
    </row>
    <row r="2418" spans="1:2">
      <c r="A2418" s="126"/>
      <c r="B2418" s="680"/>
    </row>
    <row r="2419" spans="1:2">
      <c r="A2419" s="126"/>
      <c r="B2419" s="680"/>
    </row>
    <row r="2420" spans="1:2">
      <c r="A2420" s="126"/>
      <c r="B2420" s="680"/>
    </row>
    <row r="2421" spans="1:2">
      <c r="A2421" s="126"/>
      <c r="B2421" s="680"/>
    </row>
    <row r="2422" spans="1:2">
      <c r="A2422" s="126"/>
      <c r="B2422" s="680"/>
    </row>
    <row r="2423" spans="1:2">
      <c r="A2423" s="126"/>
      <c r="B2423" s="680"/>
    </row>
    <row r="2424" spans="1:2">
      <c r="A2424" s="126"/>
      <c r="B2424" s="680"/>
    </row>
    <row r="2425" spans="1:2">
      <c r="A2425" s="126"/>
      <c r="B2425" s="680"/>
    </row>
    <row r="2426" spans="1:2">
      <c r="A2426" s="126"/>
      <c r="B2426" s="680"/>
    </row>
    <row r="2427" spans="1:2">
      <c r="A2427" s="126"/>
      <c r="B2427" s="680"/>
    </row>
    <row r="2428" spans="1:2">
      <c r="A2428" s="126"/>
      <c r="B2428" s="680"/>
    </row>
    <row r="2429" spans="1:2">
      <c r="A2429" s="126"/>
      <c r="B2429" s="680"/>
    </row>
    <row r="2430" spans="1:2">
      <c r="A2430" s="126"/>
      <c r="B2430" s="680"/>
    </row>
    <row r="2431" spans="1:2">
      <c r="A2431" s="126"/>
      <c r="B2431" s="680"/>
    </row>
    <row r="2432" spans="1:2">
      <c r="A2432" s="126"/>
      <c r="B2432" s="680"/>
    </row>
    <row r="2433" spans="1:2">
      <c r="A2433" s="126"/>
      <c r="B2433" s="680"/>
    </row>
    <row r="2434" spans="1:2">
      <c r="A2434" s="126"/>
      <c r="B2434" s="680"/>
    </row>
    <row r="2435" spans="1:2">
      <c r="A2435" s="126"/>
      <c r="B2435" s="680"/>
    </row>
    <row r="2436" spans="1:2">
      <c r="A2436" s="126"/>
      <c r="B2436" s="680"/>
    </row>
    <row r="2437" spans="1:2">
      <c r="A2437" s="126"/>
      <c r="B2437" s="680"/>
    </row>
    <row r="2438" spans="1:2">
      <c r="A2438" s="126"/>
      <c r="B2438" s="680"/>
    </row>
    <row r="2439" spans="1:2">
      <c r="A2439" s="126"/>
      <c r="B2439" s="680"/>
    </row>
    <row r="2440" spans="1:2">
      <c r="A2440" s="126"/>
      <c r="B2440" s="680"/>
    </row>
    <row r="2441" spans="1:2">
      <c r="A2441" s="126"/>
      <c r="B2441" s="680"/>
    </row>
    <row r="2442" spans="1:2">
      <c r="A2442" s="126"/>
      <c r="B2442" s="680"/>
    </row>
    <row r="2443" spans="1:2">
      <c r="A2443" s="126"/>
      <c r="B2443" s="680"/>
    </row>
    <row r="2444" spans="1:2">
      <c r="A2444" s="126"/>
      <c r="B2444" s="680"/>
    </row>
    <row r="2445" spans="1:2">
      <c r="A2445" s="126"/>
      <c r="B2445" s="680"/>
    </row>
    <row r="2446" spans="1:2">
      <c r="A2446" s="126"/>
      <c r="B2446" s="680"/>
    </row>
    <row r="2447" spans="1:2">
      <c r="A2447" s="126"/>
      <c r="B2447" s="680"/>
    </row>
    <row r="2448" spans="1:2">
      <c r="A2448" s="126"/>
      <c r="B2448" s="680"/>
    </row>
    <row r="2449" spans="1:2">
      <c r="A2449" s="126"/>
      <c r="B2449" s="680"/>
    </row>
    <row r="2450" spans="1:2">
      <c r="A2450" s="126"/>
      <c r="B2450" s="680"/>
    </row>
    <row r="2451" spans="1:2">
      <c r="A2451" s="126"/>
      <c r="B2451" s="680"/>
    </row>
    <row r="2452" spans="1:2">
      <c r="A2452" s="126"/>
      <c r="B2452" s="680"/>
    </row>
    <row r="2453" spans="1:2">
      <c r="A2453" s="126"/>
      <c r="B2453" s="680"/>
    </row>
    <row r="2454" spans="1:2">
      <c r="A2454" s="126"/>
      <c r="B2454" s="680"/>
    </row>
    <row r="2455" spans="1:2">
      <c r="A2455" s="126"/>
      <c r="B2455" s="680"/>
    </row>
    <row r="2456" spans="1:2">
      <c r="A2456" s="126"/>
      <c r="B2456" s="680"/>
    </row>
    <row r="2457" spans="1:2">
      <c r="A2457" s="126"/>
      <c r="B2457" s="680"/>
    </row>
    <row r="2458" spans="1:2">
      <c r="A2458" s="126"/>
      <c r="B2458" s="680"/>
    </row>
    <row r="2459" spans="1:2">
      <c r="A2459" s="126"/>
      <c r="B2459" s="680"/>
    </row>
    <row r="2460" spans="1:2">
      <c r="A2460" s="126"/>
      <c r="B2460" s="680"/>
    </row>
    <row r="2461" spans="1:2">
      <c r="A2461" s="126"/>
      <c r="B2461" s="680"/>
    </row>
    <row r="2462" spans="1:2">
      <c r="A2462" s="126"/>
      <c r="B2462" s="680"/>
    </row>
    <row r="2463" spans="1:2">
      <c r="A2463" s="126"/>
      <c r="B2463" s="680"/>
    </row>
    <row r="2464" spans="1:2">
      <c r="A2464" s="126"/>
      <c r="B2464" s="680"/>
    </row>
    <row r="2465" spans="1:2">
      <c r="A2465" s="126"/>
      <c r="B2465" s="680"/>
    </row>
    <row r="2466" spans="1:2">
      <c r="A2466" s="126"/>
      <c r="B2466" s="680"/>
    </row>
    <row r="2467" spans="1:2">
      <c r="A2467" s="126"/>
      <c r="B2467" s="680"/>
    </row>
    <row r="2468" spans="1:2">
      <c r="A2468" s="126"/>
      <c r="B2468" s="680"/>
    </row>
    <row r="2469" spans="1:2">
      <c r="A2469" s="126"/>
      <c r="B2469" s="680"/>
    </row>
    <row r="2470" spans="1:2">
      <c r="A2470" s="126"/>
      <c r="B2470" s="680"/>
    </row>
    <row r="2471" spans="1:2">
      <c r="A2471" s="126"/>
      <c r="B2471" s="680"/>
    </row>
    <row r="2472" spans="1:2">
      <c r="A2472" s="126"/>
      <c r="B2472" s="680"/>
    </row>
    <row r="2473" spans="1:2">
      <c r="A2473" s="126"/>
      <c r="B2473" s="680"/>
    </row>
    <row r="2474" spans="1:2">
      <c r="A2474" s="126"/>
      <c r="B2474" s="680"/>
    </row>
    <row r="2475" spans="1:2">
      <c r="A2475" s="126"/>
      <c r="B2475" s="680"/>
    </row>
    <row r="2476" spans="1:2">
      <c r="A2476" s="126"/>
      <c r="B2476" s="680"/>
    </row>
    <row r="2477" spans="1:2">
      <c r="A2477" s="126"/>
      <c r="B2477" s="680"/>
    </row>
    <row r="2478" spans="1:2">
      <c r="A2478" s="126"/>
      <c r="B2478" s="680"/>
    </row>
    <row r="2479" spans="1:2">
      <c r="A2479" s="126"/>
      <c r="B2479" s="680"/>
    </row>
    <row r="2480" spans="1:2">
      <c r="A2480" s="126"/>
      <c r="B2480" s="680"/>
    </row>
    <row r="2481" spans="1:2">
      <c r="A2481" s="126"/>
      <c r="B2481" s="680"/>
    </row>
    <row r="2482" spans="1:2">
      <c r="A2482" s="126"/>
      <c r="B2482" s="680"/>
    </row>
    <row r="2483" spans="1:2">
      <c r="A2483" s="126"/>
      <c r="B2483" s="680"/>
    </row>
    <row r="2484" spans="1:2">
      <c r="A2484" s="126"/>
      <c r="B2484" s="680"/>
    </row>
    <row r="2485" spans="1:2">
      <c r="A2485" s="126"/>
      <c r="B2485" s="680"/>
    </row>
    <row r="2486" spans="1:2">
      <c r="A2486" s="126"/>
      <c r="B2486" s="680"/>
    </row>
    <row r="2487" spans="1:2">
      <c r="A2487" s="126"/>
      <c r="B2487" s="680"/>
    </row>
    <row r="2488" spans="1:2">
      <c r="A2488" s="126"/>
      <c r="B2488" s="680"/>
    </row>
    <row r="2489" spans="1:2">
      <c r="A2489" s="126"/>
      <c r="B2489" s="680"/>
    </row>
    <row r="2490" spans="1:2">
      <c r="A2490" s="126"/>
      <c r="B2490" s="680"/>
    </row>
    <row r="2491" spans="1:2">
      <c r="A2491" s="126"/>
      <c r="B2491" s="680"/>
    </row>
    <row r="2492" spans="1:2">
      <c r="A2492" s="126"/>
      <c r="B2492" s="680"/>
    </row>
    <row r="2493" spans="1:2">
      <c r="A2493" s="126"/>
      <c r="B2493" s="680"/>
    </row>
    <row r="2494" spans="1:2">
      <c r="A2494" s="126"/>
      <c r="B2494" s="680"/>
    </row>
    <row r="2495" spans="1:2">
      <c r="A2495" s="126"/>
      <c r="B2495" s="680"/>
    </row>
    <row r="2496" spans="1:2">
      <c r="A2496" s="126"/>
      <c r="B2496" s="680"/>
    </row>
    <row r="2497" spans="1:2">
      <c r="A2497" s="126"/>
      <c r="B2497" s="680"/>
    </row>
    <row r="2498" spans="1:2">
      <c r="A2498" s="126"/>
      <c r="B2498" s="680"/>
    </row>
    <row r="2499" spans="1:2">
      <c r="A2499" s="126"/>
      <c r="B2499" s="680"/>
    </row>
    <row r="2500" spans="1:2">
      <c r="A2500" s="126"/>
      <c r="B2500" s="680"/>
    </row>
    <row r="2501" spans="1:2">
      <c r="A2501" s="126"/>
      <c r="B2501" s="680"/>
    </row>
    <row r="2502" spans="1:2">
      <c r="A2502" s="126"/>
      <c r="B2502" s="680"/>
    </row>
    <row r="2503" spans="1:2">
      <c r="A2503" s="126"/>
      <c r="B2503" s="680"/>
    </row>
    <row r="2504" spans="1:2">
      <c r="A2504" s="126"/>
      <c r="B2504" s="680"/>
    </row>
    <row r="2505" spans="1:2">
      <c r="A2505" s="126"/>
      <c r="B2505" s="680"/>
    </row>
    <row r="2506" spans="1:2">
      <c r="A2506" s="126"/>
      <c r="B2506" s="680"/>
    </row>
    <row r="2507" spans="1:2">
      <c r="A2507" s="126"/>
      <c r="B2507" s="680"/>
    </row>
    <row r="2508" spans="1:2">
      <c r="A2508" s="126"/>
      <c r="B2508" s="680"/>
    </row>
    <row r="2509" spans="1:2">
      <c r="A2509" s="126"/>
      <c r="B2509" s="680"/>
    </row>
    <row r="2510" spans="1:2">
      <c r="A2510" s="126"/>
      <c r="B2510" s="680"/>
    </row>
    <row r="2511" spans="1:2">
      <c r="A2511" s="126"/>
      <c r="B2511" s="680"/>
    </row>
    <row r="2512" spans="1:2">
      <c r="A2512" s="126"/>
      <c r="B2512" s="680"/>
    </row>
    <row r="2513" spans="1:2">
      <c r="A2513" s="126"/>
      <c r="B2513" s="680"/>
    </row>
    <row r="2514" spans="1:2">
      <c r="A2514" s="126"/>
      <c r="B2514" s="680"/>
    </row>
    <row r="2515" spans="1:2">
      <c r="A2515" s="126"/>
      <c r="B2515" s="680"/>
    </row>
    <row r="2516" spans="1:2">
      <c r="A2516" s="126"/>
      <c r="B2516" s="680"/>
    </row>
    <row r="2517" spans="1:2">
      <c r="A2517" s="126"/>
      <c r="B2517" s="680"/>
    </row>
    <row r="2518" spans="1:2">
      <c r="A2518" s="126"/>
      <c r="B2518" s="680"/>
    </row>
    <row r="2519" spans="1:2">
      <c r="A2519" s="126"/>
      <c r="B2519" s="680"/>
    </row>
    <row r="2520" spans="1:2">
      <c r="A2520" s="126"/>
      <c r="B2520" s="680"/>
    </row>
    <row r="2521" spans="1:2">
      <c r="A2521" s="126"/>
      <c r="B2521" s="680"/>
    </row>
    <row r="2522" spans="1:2">
      <c r="A2522" s="126"/>
      <c r="B2522" s="680"/>
    </row>
    <row r="2523" spans="1:2">
      <c r="A2523" s="126"/>
      <c r="B2523" s="680"/>
    </row>
    <row r="2524" spans="1:2">
      <c r="A2524" s="126"/>
      <c r="B2524" s="680"/>
    </row>
    <row r="2525" spans="1:2">
      <c r="A2525" s="126"/>
      <c r="B2525" s="680"/>
    </row>
    <row r="2526" spans="1:2">
      <c r="A2526" s="126"/>
      <c r="B2526" s="680"/>
    </row>
    <row r="2527" spans="1:2">
      <c r="A2527" s="126"/>
      <c r="B2527" s="680"/>
    </row>
    <row r="2528" spans="1:2">
      <c r="A2528" s="126"/>
      <c r="B2528" s="680"/>
    </row>
    <row r="2529" spans="1:2">
      <c r="A2529" s="126"/>
      <c r="B2529" s="680"/>
    </row>
    <row r="2530" spans="1:2">
      <c r="A2530" s="126"/>
      <c r="B2530" s="680"/>
    </row>
    <row r="2531" spans="1:2">
      <c r="A2531" s="126"/>
      <c r="B2531" s="680"/>
    </row>
    <row r="2532" spans="1:2">
      <c r="A2532" s="126"/>
      <c r="B2532" s="680"/>
    </row>
    <row r="2533" spans="1:2">
      <c r="A2533" s="126"/>
      <c r="B2533" s="680"/>
    </row>
    <row r="2534" spans="1:2">
      <c r="A2534" s="126"/>
      <c r="B2534" s="680"/>
    </row>
    <row r="2535" spans="1:2">
      <c r="A2535" s="126"/>
      <c r="B2535" s="680"/>
    </row>
    <row r="2536" spans="1:2">
      <c r="A2536" s="126"/>
      <c r="B2536" s="680"/>
    </row>
    <row r="2537" spans="1:2">
      <c r="A2537" s="126"/>
      <c r="B2537" s="680"/>
    </row>
    <row r="2538" spans="1:2">
      <c r="A2538" s="126"/>
      <c r="B2538" s="680"/>
    </row>
    <row r="2539" spans="1:2">
      <c r="A2539" s="126"/>
      <c r="B2539" s="680"/>
    </row>
    <row r="2540" spans="1:2">
      <c r="A2540" s="126"/>
      <c r="B2540" s="680"/>
    </row>
    <row r="2541" spans="1:2">
      <c r="A2541" s="126"/>
      <c r="B2541" s="680"/>
    </row>
    <row r="2542" spans="1:2">
      <c r="A2542" s="126"/>
      <c r="B2542" s="680"/>
    </row>
    <row r="2543" spans="1:2">
      <c r="A2543" s="126"/>
      <c r="B2543" s="680"/>
    </row>
    <row r="2544" spans="1:2">
      <c r="A2544" s="126"/>
      <c r="B2544" s="680"/>
    </row>
    <row r="2545" spans="1:2">
      <c r="A2545" s="126"/>
      <c r="B2545" s="680"/>
    </row>
    <row r="2546" spans="1:2">
      <c r="A2546" s="126"/>
      <c r="B2546" s="680"/>
    </row>
    <row r="2547" spans="1:2">
      <c r="A2547" s="126"/>
      <c r="B2547" s="680"/>
    </row>
    <row r="2548" spans="1:2">
      <c r="A2548" s="126"/>
      <c r="B2548" s="680"/>
    </row>
    <row r="2549" spans="1:2">
      <c r="A2549" s="126"/>
      <c r="B2549" s="680"/>
    </row>
    <row r="2550" spans="1:2">
      <c r="A2550" s="126"/>
      <c r="B2550" s="680"/>
    </row>
    <row r="2551" spans="1:2">
      <c r="A2551" s="126"/>
      <c r="B2551" s="680"/>
    </row>
    <row r="2552" spans="1:2">
      <c r="A2552" s="126"/>
      <c r="B2552" s="680"/>
    </row>
    <row r="2553" spans="1:2">
      <c r="A2553" s="126"/>
      <c r="B2553" s="680"/>
    </row>
    <row r="2554" spans="1:2">
      <c r="A2554" s="126"/>
      <c r="B2554" s="680"/>
    </row>
    <row r="2555" spans="1:2">
      <c r="A2555" s="126"/>
      <c r="B2555" s="680"/>
    </row>
    <row r="2556" spans="1:2">
      <c r="A2556" s="126"/>
      <c r="B2556" s="680"/>
    </row>
    <row r="2557" spans="1:2">
      <c r="A2557" s="126"/>
      <c r="B2557" s="680"/>
    </row>
    <row r="2558" spans="1:2">
      <c r="A2558" s="126"/>
      <c r="B2558" s="680"/>
    </row>
    <row r="2559" spans="1:2">
      <c r="A2559" s="126"/>
      <c r="B2559" s="680"/>
    </row>
    <row r="2560" spans="1:2">
      <c r="A2560" s="126"/>
      <c r="B2560" s="680"/>
    </row>
    <row r="2561" spans="1:2">
      <c r="A2561" s="126"/>
      <c r="B2561" s="680"/>
    </row>
    <row r="2562" spans="1:2">
      <c r="A2562" s="126"/>
      <c r="B2562" s="680"/>
    </row>
    <row r="2563" spans="1:2">
      <c r="A2563" s="126"/>
      <c r="B2563" s="680"/>
    </row>
    <row r="2564" spans="1:2">
      <c r="A2564" s="126"/>
      <c r="B2564" s="680"/>
    </row>
    <row r="2565" spans="1:2">
      <c r="A2565" s="126"/>
      <c r="B2565" s="680"/>
    </row>
    <row r="2566" spans="1:2">
      <c r="A2566" s="126"/>
      <c r="B2566" s="680"/>
    </row>
    <row r="2567" spans="1:2">
      <c r="A2567" s="126"/>
      <c r="B2567" s="680"/>
    </row>
    <row r="2568" spans="1:2">
      <c r="A2568" s="126"/>
      <c r="B2568" s="680"/>
    </row>
    <row r="2569" spans="1:2">
      <c r="A2569" s="126"/>
      <c r="B2569" s="680"/>
    </row>
    <row r="2570" spans="1:2">
      <c r="A2570" s="126"/>
      <c r="B2570" s="680"/>
    </row>
    <row r="2571" spans="1:2">
      <c r="A2571" s="126"/>
      <c r="B2571" s="680"/>
    </row>
    <row r="2572" spans="1:2">
      <c r="A2572" s="126"/>
      <c r="B2572" s="680"/>
    </row>
    <row r="2573" spans="1:2">
      <c r="A2573" s="126"/>
      <c r="B2573" s="680"/>
    </row>
    <row r="2574" spans="1:2">
      <c r="A2574" s="126"/>
      <c r="B2574" s="680"/>
    </row>
    <row r="2575" spans="1:2">
      <c r="A2575" s="126"/>
      <c r="B2575" s="680"/>
    </row>
    <row r="2576" spans="1:2">
      <c r="A2576" s="126"/>
      <c r="B2576" s="680"/>
    </row>
    <row r="2577" spans="1:2">
      <c r="A2577" s="126"/>
      <c r="B2577" s="680"/>
    </row>
    <row r="2578" spans="1:2">
      <c r="A2578" s="126"/>
      <c r="B2578" s="680"/>
    </row>
    <row r="2579" spans="1:2">
      <c r="A2579" s="126"/>
      <c r="B2579" s="680"/>
    </row>
    <row r="2580" spans="1:2">
      <c r="A2580" s="126"/>
      <c r="B2580" s="680"/>
    </row>
    <row r="2581" spans="1:2">
      <c r="A2581" s="126"/>
      <c r="B2581" s="680"/>
    </row>
    <row r="2582" spans="1:2">
      <c r="A2582" s="126"/>
      <c r="B2582" s="680"/>
    </row>
    <row r="2583" spans="1:2">
      <c r="A2583" s="126"/>
      <c r="B2583" s="680"/>
    </row>
    <row r="2584" spans="1:2">
      <c r="A2584" s="126"/>
      <c r="B2584" s="680"/>
    </row>
    <row r="2585" spans="1:2">
      <c r="A2585" s="126"/>
      <c r="B2585" s="680"/>
    </row>
    <row r="2586" spans="1:2">
      <c r="A2586" s="126"/>
      <c r="B2586" s="680"/>
    </row>
    <row r="2587" spans="1:2">
      <c r="A2587" s="126"/>
      <c r="B2587" s="680"/>
    </row>
    <row r="2588" spans="1:2">
      <c r="A2588" s="126"/>
      <c r="B2588" s="680"/>
    </row>
    <row r="2589" spans="1:2">
      <c r="A2589" s="126"/>
      <c r="B2589" s="680"/>
    </row>
    <row r="2590" spans="1:2">
      <c r="A2590" s="126"/>
      <c r="B2590" s="680"/>
    </row>
    <row r="2591" spans="1:2">
      <c r="A2591" s="126"/>
      <c r="B2591" s="680"/>
    </row>
    <row r="2592" spans="1:2">
      <c r="A2592" s="126"/>
      <c r="B2592" s="680"/>
    </row>
    <row r="2593" spans="1:2">
      <c r="A2593" s="126"/>
      <c r="B2593" s="680"/>
    </row>
    <row r="2594" spans="1:2">
      <c r="A2594" s="126"/>
      <c r="B2594" s="680"/>
    </row>
    <row r="2595" spans="1:2">
      <c r="A2595" s="126"/>
      <c r="B2595" s="680"/>
    </row>
    <row r="2596" spans="1:2">
      <c r="A2596" s="126"/>
      <c r="B2596" s="680"/>
    </row>
    <row r="2597" spans="1:2">
      <c r="A2597" s="126"/>
      <c r="B2597" s="680"/>
    </row>
    <row r="2598" spans="1:2">
      <c r="A2598" s="126"/>
      <c r="B2598" s="680"/>
    </row>
    <row r="2599" spans="1:2">
      <c r="A2599" s="126"/>
      <c r="B2599" s="680"/>
    </row>
    <row r="2600" spans="1:2">
      <c r="A2600" s="126"/>
      <c r="B2600" s="680"/>
    </row>
    <row r="2601" spans="1:2">
      <c r="A2601" s="126"/>
      <c r="B2601" s="680"/>
    </row>
    <row r="2602" spans="1:2">
      <c r="A2602" s="126"/>
      <c r="B2602" s="680"/>
    </row>
    <row r="2603" spans="1:2">
      <c r="A2603" s="126"/>
      <c r="B2603" s="680"/>
    </row>
    <row r="2604" spans="1:2">
      <c r="A2604" s="126"/>
      <c r="B2604" s="680"/>
    </row>
    <row r="2605" spans="1:2">
      <c r="A2605" s="126"/>
      <c r="B2605" s="680"/>
    </row>
    <row r="2606" spans="1:2">
      <c r="A2606" s="126"/>
      <c r="B2606" s="680"/>
    </row>
    <row r="2607" spans="1:2">
      <c r="A2607" s="126"/>
      <c r="B2607" s="680"/>
    </row>
    <row r="2608" spans="1:2">
      <c r="A2608" s="126"/>
      <c r="B2608" s="680"/>
    </row>
    <row r="2609" spans="1:2">
      <c r="A2609" s="126"/>
      <c r="B2609" s="680"/>
    </row>
    <row r="2610" spans="1:2">
      <c r="A2610" s="126"/>
      <c r="B2610" s="680"/>
    </row>
    <row r="2611" spans="1:2">
      <c r="A2611" s="126"/>
      <c r="B2611" s="680"/>
    </row>
    <row r="2612" spans="1:2">
      <c r="A2612" s="126"/>
      <c r="B2612" s="680"/>
    </row>
    <row r="2613" spans="1:2">
      <c r="A2613" s="126"/>
      <c r="B2613" s="680"/>
    </row>
    <row r="2614" spans="1:2">
      <c r="A2614" s="126"/>
      <c r="B2614" s="680"/>
    </row>
    <row r="2615" spans="1:2">
      <c r="A2615" s="126"/>
      <c r="B2615" s="680"/>
    </row>
    <row r="2616" spans="1:2">
      <c r="A2616" s="126"/>
      <c r="B2616" s="680"/>
    </row>
    <row r="2617" spans="1:2">
      <c r="A2617" s="126"/>
      <c r="B2617" s="680"/>
    </row>
    <row r="2618" spans="1:2">
      <c r="A2618" s="126"/>
      <c r="B2618" s="680"/>
    </row>
    <row r="2619" spans="1:2">
      <c r="A2619" s="126"/>
      <c r="B2619" s="680"/>
    </row>
    <row r="2620" spans="1:2">
      <c r="A2620" s="126"/>
      <c r="B2620" s="680"/>
    </row>
    <row r="2621" spans="1:2">
      <c r="A2621" s="126"/>
      <c r="B2621" s="680"/>
    </row>
    <row r="2622" spans="1:2">
      <c r="A2622" s="126"/>
      <c r="B2622" s="680"/>
    </row>
    <row r="2623" spans="1:2">
      <c r="A2623" s="126"/>
      <c r="B2623" s="680"/>
    </row>
    <row r="2624" spans="1:2">
      <c r="A2624" s="126"/>
      <c r="B2624" s="680"/>
    </row>
    <row r="2625" spans="1:2">
      <c r="A2625" s="126"/>
      <c r="B2625" s="680"/>
    </row>
    <row r="2626" spans="1:2">
      <c r="A2626" s="126"/>
      <c r="B2626" s="680"/>
    </row>
    <row r="2627" spans="1:2">
      <c r="A2627" s="126"/>
      <c r="B2627" s="680"/>
    </row>
    <row r="2628" spans="1:2">
      <c r="A2628" s="126"/>
      <c r="B2628" s="680"/>
    </row>
    <row r="2629" spans="1:2">
      <c r="A2629" s="126"/>
      <c r="B2629" s="680"/>
    </row>
    <row r="2630" spans="1:2">
      <c r="A2630" s="126"/>
      <c r="B2630" s="680"/>
    </row>
    <row r="2631" spans="1:2">
      <c r="A2631" s="126"/>
      <c r="B2631" s="680"/>
    </row>
    <row r="2632" spans="1:2">
      <c r="A2632" s="126"/>
      <c r="B2632" s="680"/>
    </row>
    <row r="2633" spans="1:2">
      <c r="A2633" s="126"/>
      <c r="B2633" s="680"/>
    </row>
    <row r="2634" spans="1:2">
      <c r="A2634" s="126"/>
      <c r="B2634" s="680"/>
    </row>
    <row r="2635" spans="1:2">
      <c r="A2635" s="126"/>
      <c r="B2635" s="680"/>
    </row>
    <row r="2636" spans="1:2">
      <c r="A2636" s="126"/>
      <c r="B2636" s="680"/>
    </row>
    <row r="2637" spans="1:2">
      <c r="A2637" s="126"/>
      <c r="B2637" s="680"/>
    </row>
    <row r="2638" spans="1:2">
      <c r="A2638" s="126"/>
      <c r="B2638" s="680"/>
    </row>
    <row r="2639" spans="1:2">
      <c r="A2639" s="126"/>
      <c r="B2639" s="680"/>
    </row>
    <row r="2640" spans="1:2">
      <c r="A2640" s="126"/>
      <c r="B2640" s="680"/>
    </row>
    <row r="2641" spans="1:2">
      <c r="A2641" s="126"/>
      <c r="B2641" s="680"/>
    </row>
    <row r="2642" spans="1:2">
      <c r="A2642" s="126"/>
      <c r="B2642" s="680"/>
    </row>
    <row r="2643" spans="1:2">
      <c r="A2643" s="126"/>
      <c r="B2643" s="680"/>
    </row>
    <row r="2644" spans="1:2">
      <c r="A2644" s="126"/>
      <c r="B2644" s="680"/>
    </row>
    <row r="2645" spans="1:2">
      <c r="A2645" s="126"/>
      <c r="B2645" s="680"/>
    </row>
    <row r="2646" spans="1:2">
      <c r="A2646" s="126"/>
      <c r="B2646" s="680"/>
    </row>
    <row r="2647" spans="1:2">
      <c r="A2647" s="126"/>
      <c r="B2647" s="680"/>
    </row>
    <row r="2648" spans="1:2">
      <c r="A2648" s="126"/>
      <c r="B2648" s="680"/>
    </row>
    <row r="2649" spans="1:2">
      <c r="A2649" s="126"/>
      <c r="B2649" s="680"/>
    </row>
    <row r="2650" spans="1:2">
      <c r="A2650" s="126"/>
      <c r="B2650" s="680"/>
    </row>
    <row r="2651" spans="1:2">
      <c r="A2651" s="126"/>
      <c r="B2651" s="680"/>
    </row>
    <row r="2652" spans="1:2">
      <c r="A2652" s="126"/>
      <c r="B2652" s="680"/>
    </row>
    <row r="2653" spans="1:2">
      <c r="A2653" s="126"/>
      <c r="B2653" s="680"/>
    </row>
    <row r="2654" spans="1:2">
      <c r="A2654" s="126"/>
      <c r="B2654" s="680"/>
    </row>
    <row r="2655" spans="1:2">
      <c r="A2655" s="126"/>
      <c r="B2655" s="680"/>
    </row>
    <row r="2656" spans="1:2">
      <c r="A2656" s="126"/>
      <c r="B2656" s="680"/>
    </row>
    <row r="2657" spans="1:2">
      <c r="A2657" s="126"/>
      <c r="B2657" s="680"/>
    </row>
    <row r="2658" spans="1:2">
      <c r="A2658" s="126"/>
      <c r="B2658" s="680"/>
    </row>
    <row r="2659" spans="1:2">
      <c r="A2659" s="126"/>
      <c r="B2659" s="680"/>
    </row>
    <row r="2660" spans="1:2">
      <c r="A2660" s="126"/>
      <c r="B2660" s="680"/>
    </row>
    <row r="2661" spans="1:2">
      <c r="A2661" s="126"/>
      <c r="B2661" s="680"/>
    </row>
    <row r="2662" spans="1:2">
      <c r="A2662" s="126"/>
      <c r="B2662" s="680"/>
    </row>
    <row r="2663" spans="1:2">
      <c r="A2663" s="126"/>
      <c r="B2663" s="680"/>
    </row>
    <row r="2664" spans="1:2">
      <c r="A2664" s="126"/>
      <c r="B2664" s="680"/>
    </row>
    <row r="2665" spans="1:2">
      <c r="A2665" s="126"/>
      <c r="B2665" s="680"/>
    </row>
    <row r="2666" spans="1:2">
      <c r="A2666" s="126"/>
      <c r="B2666" s="680"/>
    </row>
    <row r="2667" spans="1:2">
      <c r="A2667" s="126"/>
      <c r="B2667" s="680"/>
    </row>
    <row r="2668" spans="1:2">
      <c r="A2668" s="126"/>
      <c r="B2668" s="680"/>
    </row>
    <row r="2669" spans="1:2">
      <c r="A2669" s="126"/>
      <c r="B2669" s="680"/>
    </row>
    <row r="2670" spans="1:2">
      <c r="A2670" s="126"/>
      <c r="B2670" s="680"/>
    </row>
    <row r="2671" spans="1:2">
      <c r="A2671" s="126"/>
      <c r="B2671" s="680"/>
    </row>
    <row r="2672" spans="1:2">
      <c r="A2672" s="126"/>
      <c r="B2672" s="680"/>
    </row>
    <row r="2673" spans="1:2">
      <c r="A2673" s="126"/>
      <c r="B2673" s="680"/>
    </row>
    <row r="2674" spans="1:2">
      <c r="A2674" s="126"/>
      <c r="B2674" s="680"/>
    </row>
    <row r="2675" spans="1:2">
      <c r="A2675" s="126"/>
      <c r="B2675" s="680"/>
    </row>
    <row r="2676" spans="1:2">
      <c r="A2676" s="126"/>
      <c r="B2676" s="680"/>
    </row>
    <row r="2677" spans="1:2">
      <c r="A2677" s="126"/>
      <c r="B2677" s="680"/>
    </row>
    <row r="2678" spans="1:2">
      <c r="A2678" s="126"/>
      <c r="B2678" s="680"/>
    </row>
    <row r="2679" spans="1:2">
      <c r="A2679" s="126"/>
      <c r="B2679" s="680"/>
    </row>
    <row r="2680" spans="1:2">
      <c r="A2680" s="126"/>
      <c r="B2680" s="680"/>
    </row>
    <row r="2681" spans="1:2">
      <c r="A2681" s="126"/>
      <c r="B2681" s="680"/>
    </row>
    <row r="2682" spans="1:2">
      <c r="A2682" s="126"/>
      <c r="B2682" s="680"/>
    </row>
    <row r="2683" spans="1:2">
      <c r="A2683" s="126"/>
      <c r="B2683" s="680"/>
    </row>
    <row r="2684" spans="1:2">
      <c r="A2684" s="126"/>
      <c r="B2684" s="680"/>
    </row>
    <row r="2685" spans="1:2">
      <c r="A2685" s="126"/>
      <c r="B2685" s="680"/>
    </row>
    <row r="2686" spans="1:2">
      <c r="A2686" s="126"/>
      <c r="B2686" s="680"/>
    </row>
    <row r="2687" spans="1:2">
      <c r="A2687" s="126"/>
      <c r="B2687" s="680"/>
    </row>
    <row r="2688" spans="1:2">
      <c r="A2688" s="126"/>
      <c r="B2688" s="680"/>
    </row>
    <row r="2689" spans="1:2">
      <c r="A2689" s="126"/>
      <c r="B2689" s="680"/>
    </row>
    <row r="2690" spans="1:2">
      <c r="A2690" s="126"/>
      <c r="B2690" s="680"/>
    </row>
    <row r="2691" spans="1:2">
      <c r="A2691" s="126"/>
      <c r="B2691" s="680"/>
    </row>
    <row r="2692" spans="1:2">
      <c r="A2692" s="126"/>
      <c r="B2692" s="680"/>
    </row>
    <row r="2693" spans="1:2">
      <c r="A2693" s="126"/>
      <c r="B2693" s="680"/>
    </row>
    <row r="2694" spans="1:2">
      <c r="A2694" s="126"/>
      <c r="B2694" s="680"/>
    </row>
    <row r="2695" spans="1:2">
      <c r="A2695" s="126"/>
      <c r="B2695" s="680"/>
    </row>
    <row r="2696" spans="1:2">
      <c r="A2696" s="126"/>
      <c r="B2696" s="680"/>
    </row>
    <row r="2697" spans="1:2">
      <c r="A2697" s="126"/>
      <c r="B2697" s="680"/>
    </row>
    <row r="2698" spans="1:2">
      <c r="A2698" s="126"/>
      <c r="B2698" s="680"/>
    </row>
    <row r="2699" spans="1:2">
      <c r="A2699" s="126"/>
      <c r="B2699" s="680"/>
    </row>
    <row r="2700" spans="1:2">
      <c r="A2700" s="126"/>
      <c r="B2700" s="680"/>
    </row>
    <row r="2701" spans="1:2">
      <c r="A2701" s="126"/>
      <c r="B2701" s="680"/>
    </row>
    <row r="2702" spans="1:2">
      <c r="A2702" s="126"/>
      <c r="B2702" s="680"/>
    </row>
    <row r="2703" spans="1:2">
      <c r="A2703" s="126"/>
      <c r="B2703" s="680"/>
    </row>
    <row r="2704" spans="1:2">
      <c r="A2704" s="126"/>
      <c r="B2704" s="680"/>
    </row>
    <row r="2705" spans="1:2">
      <c r="A2705" s="126"/>
      <c r="B2705" s="680"/>
    </row>
    <row r="2706" spans="1:2">
      <c r="A2706" s="126"/>
      <c r="B2706" s="680"/>
    </row>
    <row r="2707" spans="1:2">
      <c r="A2707" s="126"/>
      <c r="B2707" s="680"/>
    </row>
    <row r="2708" spans="1:2">
      <c r="A2708" s="126"/>
      <c r="B2708" s="680"/>
    </row>
    <row r="2709" spans="1:2">
      <c r="A2709" s="126"/>
      <c r="B2709" s="680"/>
    </row>
    <row r="2710" spans="1:2">
      <c r="A2710" s="126"/>
      <c r="B2710" s="680"/>
    </row>
    <row r="2711" spans="1:2">
      <c r="A2711" s="126"/>
      <c r="B2711" s="680"/>
    </row>
    <row r="2712" spans="1:2">
      <c r="A2712" s="126"/>
      <c r="B2712" s="680"/>
    </row>
    <row r="2713" spans="1:2">
      <c r="A2713" s="126"/>
      <c r="B2713" s="680"/>
    </row>
    <row r="2714" spans="1:2">
      <c r="A2714" s="126"/>
      <c r="B2714" s="680"/>
    </row>
    <row r="2715" spans="1:2">
      <c r="A2715" s="126"/>
      <c r="B2715" s="680"/>
    </row>
    <row r="2716" spans="1:2">
      <c r="A2716" s="126"/>
      <c r="B2716" s="680"/>
    </row>
    <row r="2717" spans="1:2">
      <c r="A2717" s="126"/>
      <c r="B2717" s="680"/>
    </row>
    <row r="2718" spans="1:2">
      <c r="A2718" s="126"/>
      <c r="B2718" s="680"/>
    </row>
    <row r="2719" spans="1:2">
      <c r="A2719" s="126"/>
      <c r="B2719" s="680"/>
    </row>
    <row r="2720" spans="1:2">
      <c r="A2720" s="126"/>
      <c r="B2720" s="680"/>
    </row>
    <row r="2721" spans="1:2">
      <c r="A2721" s="126"/>
      <c r="B2721" s="680"/>
    </row>
    <row r="2722" spans="1:2">
      <c r="A2722" s="126"/>
      <c r="B2722" s="680"/>
    </row>
    <row r="2723" spans="1:2">
      <c r="A2723" s="126"/>
      <c r="B2723" s="680"/>
    </row>
    <row r="2724" spans="1:2">
      <c r="A2724" s="126"/>
      <c r="B2724" s="680"/>
    </row>
    <row r="2725" spans="1:2">
      <c r="A2725" s="126"/>
      <c r="B2725" s="680"/>
    </row>
    <row r="2726" spans="1:2">
      <c r="A2726" s="126"/>
      <c r="B2726" s="680"/>
    </row>
    <row r="2727" spans="1:2">
      <c r="A2727" s="126"/>
      <c r="B2727" s="680"/>
    </row>
    <row r="2728" spans="1:2">
      <c r="A2728" s="126"/>
      <c r="B2728" s="680"/>
    </row>
    <row r="2729" spans="1:2">
      <c r="A2729" s="126"/>
      <c r="B2729" s="680"/>
    </row>
    <row r="2730" spans="1:2">
      <c r="A2730" s="126"/>
      <c r="B2730" s="680"/>
    </row>
    <row r="2731" spans="1:2">
      <c r="A2731" s="126"/>
      <c r="B2731" s="680"/>
    </row>
    <row r="2732" spans="1:2">
      <c r="A2732" s="126"/>
      <c r="B2732" s="680"/>
    </row>
    <row r="2733" spans="1:2">
      <c r="A2733" s="126"/>
      <c r="B2733" s="680"/>
    </row>
    <row r="2734" spans="1:2">
      <c r="A2734" s="126"/>
      <c r="B2734" s="680"/>
    </row>
    <row r="2735" spans="1:2">
      <c r="A2735" s="126"/>
      <c r="B2735" s="680"/>
    </row>
    <row r="2736" spans="1:2">
      <c r="A2736" s="126"/>
      <c r="B2736" s="680"/>
    </row>
    <row r="2737" spans="1:2">
      <c r="A2737" s="126"/>
      <c r="B2737" s="680"/>
    </row>
    <row r="2738" spans="1:2">
      <c r="A2738" s="126"/>
      <c r="B2738" s="680"/>
    </row>
    <row r="2739" spans="1:2">
      <c r="A2739" s="126"/>
      <c r="B2739" s="680"/>
    </row>
    <row r="2740" spans="1:2">
      <c r="A2740" s="126"/>
      <c r="B2740" s="680"/>
    </row>
    <row r="2741" spans="1:2">
      <c r="A2741" s="126"/>
      <c r="B2741" s="680"/>
    </row>
    <row r="2742" spans="1:2">
      <c r="A2742" s="126"/>
      <c r="B2742" s="680"/>
    </row>
    <row r="2743" spans="1:2">
      <c r="A2743" s="126"/>
      <c r="B2743" s="680"/>
    </row>
    <row r="2744" spans="1:2">
      <c r="A2744" s="126"/>
      <c r="B2744" s="680"/>
    </row>
    <row r="2745" spans="1:2">
      <c r="A2745" s="126"/>
      <c r="B2745" s="680"/>
    </row>
    <row r="2746" spans="1:2">
      <c r="A2746" s="126"/>
      <c r="B2746" s="680"/>
    </row>
    <row r="2747" spans="1:2">
      <c r="A2747" s="126"/>
      <c r="B2747" s="680"/>
    </row>
    <row r="2748" spans="1:2">
      <c r="A2748" s="126"/>
      <c r="B2748" s="680"/>
    </row>
    <row r="2749" spans="1:2">
      <c r="A2749" s="126"/>
      <c r="B2749" s="680"/>
    </row>
    <row r="2750" spans="1:2">
      <c r="A2750" s="126"/>
      <c r="B2750" s="680"/>
    </row>
    <row r="2751" spans="1:2">
      <c r="A2751" s="126"/>
      <c r="B2751" s="680"/>
    </row>
    <row r="2752" spans="1:2">
      <c r="A2752" s="126"/>
      <c r="B2752" s="680"/>
    </row>
    <row r="2753" spans="1:2">
      <c r="A2753" s="126"/>
      <c r="B2753" s="680"/>
    </row>
    <row r="2754" spans="1:2">
      <c r="A2754" s="126"/>
      <c r="B2754" s="680"/>
    </row>
    <row r="2755" spans="1:2">
      <c r="A2755" s="126"/>
      <c r="B2755" s="680"/>
    </row>
    <row r="2756" spans="1:2">
      <c r="A2756" s="126"/>
      <c r="B2756" s="680"/>
    </row>
    <row r="2757" spans="1:2">
      <c r="A2757" s="126"/>
      <c r="B2757" s="680"/>
    </row>
    <row r="2758" spans="1:2">
      <c r="A2758" s="126"/>
      <c r="B2758" s="680"/>
    </row>
    <row r="2759" spans="1:2">
      <c r="A2759" s="126"/>
      <c r="B2759" s="680"/>
    </row>
    <row r="2760" spans="1:2">
      <c r="A2760" s="126"/>
      <c r="B2760" s="680"/>
    </row>
    <row r="2761" spans="1:2">
      <c r="A2761" s="126"/>
      <c r="B2761" s="680"/>
    </row>
    <row r="2762" spans="1:2">
      <c r="A2762" s="126"/>
      <c r="B2762" s="680"/>
    </row>
    <row r="2763" spans="1:2">
      <c r="A2763" s="126"/>
      <c r="B2763" s="680"/>
    </row>
    <row r="2764" spans="1:2">
      <c r="A2764" s="126"/>
      <c r="B2764" s="680"/>
    </row>
    <row r="2765" spans="1:2">
      <c r="A2765" s="126"/>
      <c r="B2765" s="680"/>
    </row>
    <row r="2766" spans="1:2">
      <c r="A2766" s="126"/>
      <c r="B2766" s="680"/>
    </row>
    <row r="2767" spans="1:2">
      <c r="A2767" s="126"/>
      <c r="B2767" s="680"/>
    </row>
    <row r="2768" spans="1:2">
      <c r="A2768" s="126"/>
      <c r="B2768" s="680"/>
    </row>
    <row r="2769" spans="1:2">
      <c r="A2769" s="126"/>
      <c r="B2769" s="680"/>
    </row>
    <row r="2770" spans="1:2">
      <c r="A2770" s="126"/>
      <c r="B2770" s="680"/>
    </row>
    <row r="2771" spans="1:2">
      <c r="A2771" s="126"/>
      <c r="B2771" s="680"/>
    </row>
    <row r="2772" spans="1:2">
      <c r="A2772" s="126"/>
      <c r="B2772" s="680"/>
    </row>
    <row r="2773" spans="1:2">
      <c r="A2773" s="126"/>
      <c r="B2773" s="680"/>
    </row>
    <row r="2774" spans="1:2">
      <c r="A2774" s="126"/>
      <c r="B2774" s="680"/>
    </row>
    <row r="2775" spans="1:2">
      <c r="A2775" s="126"/>
      <c r="B2775" s="680"/>
    </row>
    <row r="2776" spans="1:2">
      <c r="A2776" s="126"/>
      <c r="B2776" s="680"/>
    </row>
    <row r="2777" spans="1:2">
      <c r="A2777" s="126"/>
      <c r="B2777" s="680"/>
    </row>
    <row r="2778" spans="1:2">
      <c r="A2778" s="126"/>
      <c r="B2778" s="680"/>
    </row>
    <row r="2779" spans="1:2">
      <c r="A2779" s="126"/>
      <c r="B2779" s="680"/>
    </row>
    <row r="2780" spans="1:2">
      <c r="A2780" s="126"/>
      <c r="B2780" s="680"/>
    </row>
    <row r="2781" spans="1:2">
      <c r="A2781" s="126"/>
      <c r="B2781" s="680"/>
    </row>
    <row r="2782" spans="1:2">
      <c r="A2782" s="126"/>
      <c r="B2782" s="680"/>
    </row>
    <row r="2783" spans="1:2">
      <c r="A2783" s="126"/>
      <c r="B2783" s="680"/>
    </row>
    <row r="2784" spans="1:2">
      <c r="A2784" s="126"/>
      <c r="B2784" s="680"/>
    </row>
    <row r="2785" spans="1:2">
      <c r="A2785" s="126"/>
      <c r="B2785" s="680"/>
    </row>
    <row r="2786" spans="1:2">
      <c r="A2786" s="126"/>
      <c r="B2786" s="680"/>
    </row>
    <row r="2787" spans="1:2">
      <c r="A2787" s="126"/>
      <c r="B2787" s="680"/>
    </row>
    <row r="2788" spans="1:2">
      <c r="A2788" s="126"/>
      <c r="B2788" s="680"/>
    </row>
    <row r="2789" spans="1:2">
      <c r="A2789" s="126"/>
      <c r="B2789" s="680"/>
    </row>
    <row r="2790" spans="1:2">
      <c r="A2790" s="126"/>
      <c r="B2790" s="680"/>
    </row>
    <row r="2791" spans="1:2">
      <c r="A2791" s="126"/>
      <c r="B2791" s="680"/>
    </row>
    <row r="2792" spans="1:2">
      <c r="A2792" s="126"/>
      <c r="B2792" s="680"/>
    </row>
    <row r="2793" spans="1:2">
      <c r="A2793" s="126"/>
      <c r="B2793" s="680"/>
    </row>
    <row r="2794" spans="1:2">
      <c r="A2794" s="126"/>
      <c r="B2794" s="680"/>
    </row>
    <row r="2795" spans="1:2">
      <c r="A2795" s="126"/>
      <c r="B2795" s="680"/>
    </row>
    <row r="2796" spans="1:2">
      <c r="A2796" s="126"/>
      <c r="B2796" s="680"/>
    </row>
    <row r="2797" spans="1:2">
      <c r="A2797" s="126"/>
      <c r="B2797" s="680"/>
    </row>
    <row r="2798" spans="1:2">
      <c r="A2798" s="126"/>
      <c r="B2798" s="680"/>
    </row>
    <row r="2799" spans="1:2">
      <c r="A2799" s="126"/>
      <c r="B2799" s="680"/>
    </row>
    <row r="2800" spans="1:2">
      <c r="A2800" s="126"/>
      <c r="B2800" s="680"/>
    </row>
    <row r="2801" spans="1:2">
      <c r="A2801" s="126"/>
      <c r="B2801" s="680"/>
    </row>
    <row r="2802" spans="1:2">
      <c r="A2802" s="126"/>
      <c r="B2802" s="680"/>
    </row>
    <row r="2803" spans="1:2">
      <c r="A2803" s="126"/>
      <c r="B2803" s="680"/>
    </row>
    <row r="2804" spans="1:2">
      <c r="A2804" s="126"/>
      <c r="B2804" s="680"/>
    </row>
    <row r="2805" spans="1:2">
      <c r="A2805" s="126"/>
      <c r="B2805" s="680"/>
    </row>
    <row r="2806" spans="1:2">
      <c r="A2806" s="126"/>
      <c r="B2806" s="680"/>
    </row>
    <row r="2807" spans="1:2">
      <c r="A2807" s="126"/>
      <c r="B2807" s="680"/>
    </row>
    <row r="2808" spans="1:2">
      <c r="A2808" s="126"/>
      <c r="B2808" s="680"/>
    </row>
    <row r="2809" spans="1:2">
      <c r="A2809" s="126"/>
      <c r="B2809" s="680"/>
    </row>
    <row r="2810" spans="1:2">
      <c r="A2810" s="126"/>
      <c r="B2810" s="680"/>
    </row>
    <row r="2811" spans="1:2">
      <c r="A2811" s="126"/>
      <c r="B2811" s="680"/>
    </row>
    <row r="2812" spans="1:2">
      <c r="A2812" s="126"/>
      <c r="B2812" s="680"/>
    </row>
    <row r="2813" spans="1:2">
      <c r="A2813" s="126"/>
      <c r="B2813" s="680"/>
    </row>
    <row r="2814" spans="1:2">
      <c r="A2814" s="126"/>
      <c r="B2814" s="680"/>
    </row>
    <row r="2815" spans="1:2">
      <c r="A2815" s="126"/>
      <c r="B2815" s="680"/>
    </row>
    <row r="2816" spans="1:2">
      <c r="A2816" s="126"/>
      <c r="B2816" s="680"/>
    </row>
    <row r="2817" spans="1:2">
      <c r="A2817" s="126"/>
      <c r="B2817" s="680"/>
    </row>
    <row r="2818" spans="1:2">
      <c r="A2818" s="126"/>
      <c r="B2818" s="680"/>
    </row>
    <row r="2819" spans="1:2">
      <c r="A2819" s="126"/>
      <c r="B2819" s="680"/>
    </row>
    <row r="2820" spans="1:2">
      <c r="A2820" s="126"/>
      <c r="B2820" s="680"/>
    </row>
    <row r="2821" spans="1:2">
      <c r="A2821" s="126"/>
      <c r="B2821" s="680"/>
    </row>
    <row r="2822" spans="1:2">
      <c r="A2822" s="126"/>
      <c r="B2822" s="680"/>
    </row>
    <row r="2823" spans="1:2">
      <c r="A2823" s="126"/>
      <c r="B2823" s="680"/>
    </row>
    <row r="2824" spans="1:2">
      <c r="A2824" s="126"/>
      <c r="B2824" s="680"/>
    </row>
    <row r="2825" spans="1:2">
      <c r="A2825" s="126"/>
      <c r="B2825" s="680"/>
    </row>
    <row r="2826" spans="1:2">
      <c r="A2826" s="126"/>
      <c r="B2826" s="680"/>
    </row>
    <row r="2827" spans="1:2">
      <c r="A2827" s="126"/>
      <c r="B2827" s="680"/>
    </row>
    <row r="2828" spans="1:2">
      <c r="A2828" s="126"/>
      <c r="B2828" s="680"/>
    </row>
    <row r="2829" spans="1:2">
      <c r="A2829" s="126"/>
      <c r="B2829" s="680"/>
    </row>
    <row r="2830" spans="1:2">
      <c r="A2830" s="126"/>
      <c r="B2830" s="680"/>
    </row>
    <row r="2831" spans="1:2">
      <c r="A2831" s="126"/>
      <c r="B2831" s="680"/>
    </row>
    <row r="2832" spans="1:2">
      <c r="A2832" s="126"/>
      <c r="B2832" s="680"/>
    </row>
    <row r="2833" spans="1:2">
      <c r="A2833" s="126"/>
      <c r="B2833" s="680"/>
    </row>
    <row r="2834" spans="1:2">
      <c r="A2834" s="126"/>
      <c r="B2834" s="680"/>
    </row>
    <row r="2835" spans="1:2">
      <c r="A2835" s="126"/>
      <c r="B2835" s="680"/>
    </row>
    <row r="2836" spans="1:2">
      <c r="A2836" s="126"/>
      <c r="B2836" s="680"/>
    </row>
    <row r="2837" spans="1:2">
      <c r="A2837" s="126"/>
      <c r="B2837" s="680"/>
    </row>
    <row r="2838" spans="1:2">
      <c r="A2838" s="126"/>
      <c r="B2838" s="680"/>
    </row>
    <row r="2839" spans="1:2">
      <c r="A2839" s="126"/>
      <c r="B2839" s="680"/>
    </row>
    <row r="2840" spans="1:2">
      <c r="A2840" s="126"/>
      <c r="B2840" s="680"/>
    </row>
    <row r="2841" spans="1:2">
      <c r="A2841" s="126"/>
      <c r="B2841" s="680"/>
    </row>
    <row r="2842" spans="1:2">
      <c r="A2842" s="126"/>
      <c r="B2842" s="680"/>
    </row>
    <row r="2843" spans="1:2">
      <c r="A2843" s="126"/>
      <c r="B2843" s="680"/>
    </row>
    <row r="2844" spans="1:2">
      <c r="A2844" s="126"/>
      <c r="B2844" s="680"/>
    </row>
    <row r="2845" spans="1:2">
      <c r="A2845" s="126"/>
      <c r="B2845" s="680"/>
    </row>
    <row r="2846" spans="1:2">
      <c r="A2846" s="126"/>
      <c r="B2846" s="680"/>
    </row>
    <row r="2847" spans="1:2">
      <c r="A2847" s="126"/>
      <c r="B2847" s="680"/>
    </row>
    <row r="2848" spans="1:2">
      <c r="A2848" s="126"/>
      <c r="B2848" s="680"/>
    </row>
    <row r="2849" spans="1:2">
      <c r="A2849" s="126"/>
      <c r="B2849" s="680"/>
    </row>
    <row r="2850" spans="1:2">
      <c r="A2850" s="126"/>
      <c r="B2850" s="680"/>
    </row>
    <row r="2851" spans="1:2">
      <c r="A2851" s="126"/>
      <c r="B2851" s="680"/>
    </row>
    <row r="2852" spans="1:2">
      <c r="A2852" s="126"/>
      <c r="B2852" s="680"/>
    </row>
    <row r="2853" spans="1:2">
      <c r="A2853" s="126"/>
      <c r="B2853" s="680"/>
    </row>
    <row r="2854" spans="1:2">
      <c r="A2854" s="126"/>
      <c r="B2854" s="680"/>
    </row>
    <row r="2855" spans="1:2">
      <c r="A2855" s="126"/>
      <c r="B2855" s="680"/>
    </row>
    <row r="2856" spans="1:2">
      <c r="A2856" s="126"/>
      <c r="B2856" s="680"/>
    </row>
    <row r="2857" spans="1:2">
      <c r="A2857" s="126"/>
      <c r="B2857" s="680"/>
    </row>
    <row r="2858" spans="1:2">
      <c r="A2858" s="126"/>
      <c r="B2858" s="680"/>
    </row>
    <row r="2859" spans="1:2">
      <c r="A2859" s="126"/>
      <c r="B2859" s="680"/>
    </row>
    <row r="2860" spans="1:2">
      <c r="A2860" s="126"/>
      <c r="B2860" s="680"/>
    </row>
    <row r="2861" spans="1:2">
      <c r="A2861" s="126"/>
      <c r="B2861" s="680"/>
    </row>
    <row r="2862" spans="1:2">
      <c r="A2862" s="126"/>
      <c r="B2862" s="680"/>
    </row>
    <row r="2863" spans="1:2">
      <c r="A2863" s="126"/>
      <c r="B2863" s="680"/>
    </row>
    <row r="2864" spans="1:2">
      <c r="A2864" s="126"/>
      <c r="B2864" s="680"/>
    </row>
    <row r="2865" spans="1:2">
      <c r="A2865" s="126"/>
      <c r="B2865" s="680"/>
    </row>
    <row r="2866" spans="1:2">
      <c r="A2866" s="126"/>
      <c r="B2866" s="680"/>
    </row>
    <row r="2867" spans="1:2">
      <c r="A2867" s="126"/>
      <c r="B2867" s="680"/>
    </row>
    <row r="2868" spans="1:2">
      <c r="A2868" s="126"/>
      <c r="B2868" s="680"/>
    </row>
    <row r="2869" spans="1:2">
      <c r="A2869" s="126"/>
      <c r="B2869" s="680"/>
    </row>
    <row r="2870" spans="1:2">
      <c r="A2870" s="126"/>
      <c r="B2870" s="680"/>
    </row>
    <row r="2871" spans="1:2">
      <c r="A2871" s="126"/>
      <c r="B2871" s="680"/>
    </row>
    <row r="2872" spans="1:2">
      <c r="A2872" s="126"/>
      <c r="B2872" s="680"/>
    </row>
    <row r="2873" spans="1:2">
      <c r="A2873" s="126"/>
      <c r="B2873" s="680"/>
    </row>
    <row r="2874" spans="1:2">
      <c r="A2874" s="126"/>
      <c r="B2874" s="680"/>
    </row>
    <row r="2875" spans="1:2">
      <c r="A2875" s="126"/>
      <c r="B2875" s="680"/>
    </row>
    <row r="2876" spans="1:2">
      <c r="A2876" s="126"/>
      <c r="B2876" s="680"/>
    </row>
    <row r="2877" spans="1:2">
      <c r="A2877" s="126"/>
      <c r="B2877" s="680"/>
    </row>
    <row r="2878" spans="1:2">
      <c r="A2878" s="126"/>
      <c r="B2878" s="680"/>
    </row>
    <row r="2879" spans="1:2">
      <c r="A2879" s="126"/>
      <c r="B2879" s="680"/>
    </row>
    <row r="2880" spans="1:2">
      <c r="A2880" s="126"/>
      <c r="B2880" s="680"/>
    </row>
    <row r="2881" spans="1:2">
      <c r="A2881" s="126"/>
      <c r="B2881" s="680"/>
    </row>
    <row r="2882" spans="1:2">
      <c r="A2882" s="126"/>
      <c r="B2882" s="680"/>
    </row>
    <row r="2883" spans="1:2">
      <c r="A2883" s="126"/>
      <c r="B2883" s="680"/>
    </row>
    <row r="2884" spans="1:2">
      <c r="A2884" s="126"/>
      <c r="B2884" s="680"/>
    </row>
    <row r="2885" spans="1:2">
      <c r="A2885" s="126"/>
      <c r="B2885" s="680"/>
    </row>
    <row r="2886" spans="1:2">
      <c r="A2886" s="126"/>
      <c r="B2886" s="680"/>
    </row>
    <row r="2887" spans="1:2">
      <c r="A2887" s="126"/>
      <c r="B2887" s="680"/>
    </row>
    <row r="2888" spans="1:2">
      <c r="A2888" s="126"/>
      <c r="B2888" s="680"/>
    </row>
    <row r="2889" spans="1:2">
      <c r="A2889" s="126"/>
      <c r="B2889" s="680"/>
    </row>
    <row r="2890" spans="1:2">
      <c r="A2890" s="126"/>
      <c r="B2890" s="680"/>
    </row>
    <row r="2891" spans="1:2">
      <c r="A2891" s="126"/>
      <c r="B2891" s="680"/>
    </row>
    <row r="2892" spans="1:2">
      <c r="A2892" s="126"/>
      <c r="B2892" s="680"/>
    </row>
    <row r="2893" spans="1:2">
      <c r="A2893" s="126"/>
      <c r="B2893" s="680"/>
    </row>
    <row r="2894" spans="1:2">
      <c r="A2894" s="126"/>
      <c r="B2894" s="680"/>
    </row>
    <row r="2895" spans="1:2">
      <c r="A2895" s="126"/>
      <c r="B2895" s="680"/>
    </row>
    <row r="2896" spans="1:2">
      <c r="A2896" s="126"/>
      <c r="B2896" s="680"/>
    </row>
    <row r="2897" spans="1:2">
      <c r="A2897" s="126"/>
      <c r="B2897" s="680"/>
    </row>
    <row r="2898" spans="1:2">
      <c r="A2898" s="126"/>
      <c r="B2898" s="680"/>
    </row>
    <row r="2899" spans="1:2">
      <c r="A2899" s="126"/>
      <c r="B2899" s="680"/>
    </row>
    <row r="2900" spans="1:2">
      <c r="A2900" s="126"/>
      <c r="B2900" s="680"/>
    </row>
    <row r="2901" spans="1:2">
      <c r="A2901" s="126"/>
      <c r="B2901" s="680"/>
    </row>
    <row r="2902" spans="1:2">
      <c r="A2902" s="126"/>
      <c r="B2902" s="680"/>
    </row>
    <row r="2903" spans="1:2">
      <c r="A2903" s="126"/>
      <c r="B2903" s="680"/>
    </row>
    <row r="2904" spans="1:2">
      <c r="A2904" s="126"/>
      <c r="B2904" s="680"/>
    </row>
    <row r="2905" spans="1:2">
      <c r="A2905" s="126"/>
      <c r="B2905" s="680"/>
    </row>
    <row r="2906" spans="1:2">
      <c r="A2906" s="126"/>
      <c r="B2906" s="680"/>
    </row>
    <row r="2907" spans="1:2">
      <c r="A2907" s="126"/>
      <c r="B2907" s="680"/>
    </row>
    <row r="2908" spans="1:2">
      <c r="A2908" s="126"/>
      <c r="B2908" s="680"/>
    </row>
    <row r="2909" spans="1:2">
      <c r="A2909" s="126"/>
      <c r="B2909" s="680"/>
    </row>
    <row r="2910" spans="1:2">
      <c r="A2910" s="126"/>
      <c r="B2910" s="680"/>
    </row>
    <row r="2911" spans="1:2">
      <c r="A2911" s="126"/>
      <c r="B2911" s="680"/>
    </row>
    <row r="2912" spans="1:2">
      <c r="A2912" s="126"/>
      <c r="B2912" s="680"/>
    </row>
    <row r="2913" spans="1:2">
      <c r="A2913" s="126"/>
      <c r="B2913" s="680"/>
    </row>
    <row r="2914" spans="1:2">
      <c r="A2914" s="126"/>
      <c r="B2914" s="680"/>
    </row>
    <row r="2915" spans="1:2">
      <c r="A2915" s="126"/>
      <c r="B2915" s="680"/>
    </row>
    <row r="2916" spans="1:2">
      <c r="A2916" s="126"/>
      <c r="B2916" s="680"/>
    </row>
    <row r="2917" spans="1:2">
      <c r="A2917" s="126"/>
      <c r="B2917" s="680"/>
    </row>
    <row r="2918" spans="1:2">
      <c r="A2918" s="126"/>
      <c r="B2918" s="680"/>
    </row>
    <row r="2919" spans="1:2">
      <c r="A2919" s="126"/>
      <c r="B2919" s="680"/>
    </row>
    <row r="2920" spans="1:2">
      <c r="A2920" s="126"/>
      <c r="B2920" s="680"/>
    </row>
    <row r="2921" spans="1:2">
      <c r="A2921" s="126"/>
      <c r="B2921" s="680"/>
    </row>
    <row r="2922" spans="1:2">
      <c r="A2922" s="126"/>
      <c r="B2922" s="680"/>
    </row>
    <row r="2923" spans="1:2">
      <c r="A2923" s="126"/>
      <c r="B2923" s="680"/>
    </row>
    <row r="2924" spans="1:2">
      <c r="A2924" s="126"/>
      <c r="B2924" s="680"/>
    </row>
    <row r="2925" spans="1:2">
      <c r="A2925" s="126"/>
      <c r="B2925" s="680"/>
    </row>
    <row r="2926" spans="1:2">
      <c r="A2926" s="126"/>
      <c r="B2926" s="680"/>
    </row>
    <row r="2927" spans="1:2">
      <c r="A2927" s="126"/>
      <c r="B2927" s="680"/>
    </row>
    <row r="2928" spans="1:2">
      <c r="A2928" s="126"/>
      <c r="B2928" s="680"/>
    </row>
    <row r="2929" spans="1:2">
      <c r="A2929" s="126"/>
      <c r="B2929" s="680"/>
    </row>
    <row r="2930" spans="1:2">
      <c r="A2930" s="126"/>
      <c r="B2930" s="680"/>
    </row>
    <row r="2931" spans="1:2">
      <c r="A2931" s="126"/>
      <c r="B2931" s="680"/>
    </row>
    <row r="2932" spans="1:2">
      <c r="A2932" s="126"/>
      <c r="B2932" s="680"/>
    </row>
    <row r="2933" spans="1:2">
      <c r="A2933" s="126"/>
      <c r="B2933" s="680"/>
    </row>
    <row r="2934" spans="1:2">
      <c r="A2934" s="126"/>
      <c r="B2934" s="680"/>
    </row>
    <row r="2935" spans="1:2">
      <c r="A2935" s="126"/>
      <c r="B2935" s="680"/>
    </row>
    <row r="2936" spans="1:2">
      <c r="A2936" s="126"/>
      <c r="B2936" s="680"/>
    </row>
    <row r="2937" spans="1:2">
      <c r="A2937" s="126"/>
      <c r="B2937" s="680"/>
    </row>
    <row r="2938" spans="1:2">
      <c r="A2938" s="126"/>
      <c r="B2938" s="680"/>
    </row>
    <row r="2939" spans="1:2">
      <c r="A2939" s="126"/>
      <c r="B2939" s="680"/>
    </row>
    <row r="2940" spans="1:2">
      <c r="A2940" s="126"/>
      <c r="B2940" s="680"/>
    </row>
    <row r="2941" spans="1:2">
      <c r="A2941" s="126"/>
      <c r="B2941" s="680"/>
    </row>
    <row r="2942" spans="1:2">
      <c r="A2942" s="126"/>
      <c r="B2942" s="680"/>
    </row>
    <row r="2943" spans="1:2">
      <c r="A2943" s="126"/>
      <c r="B2943" s="680"/>
    </row>
    <row r="2944" spans="1:2">
      <c r="A2944" s="126"/>
      <c r="B2944" s="680"/>
    </row>
    <row r="2945" spans="1:2">
      <c r="A2945" s="126"/>
      <c r="B2945" s="680"/>
    </row>
    <row r="2946" spans="1:2">
      <c r="A2946" s="126"/>
      <c r="B2946" s="680"/>
    </row>
    <row r="2947" spans="1:2">
      <c r="A2947" s="126"/>
      <c r="B2947" s="680"/>
    </row>
    <row r="2948" spans="1:2">
      <c r="A2948" s="126"/>
      <c r="B2948" s="680"/>
    </row>
    <row r="2949" spans="1:2">
      <c r="A2949" s="126"/>
      <c r="B2949" s="680"/>
    </row>
    <row r="2950" spans="1:2">
      <c r="A2950" s="126"/>
      <c r="B2950" s="680"/>
    </row>
    <row r="2951" spans="1:2">
      <c r="A2951" s="126"/>
      <c r="B2951" s="680"/>
    </row>
    <row r="2952" spans="1:2">
      <c r="A2952" s="126"/>
      <c r="B2952" s="680"/>
    </row>
    <row r="2953" spans="1:2">
      <c r="A2953" s="126"/>
      <c r="B2953" s="680"/>
    </row>
    <row r="2954" spans="1:2">
      <c r="A2954" s="126"/>
      <c r="B2954" s="680"/>
    </row>
    <row r="2955" spans="1:2">
      <c r="A2955" s="126"/>
      <c r="B2955" s="680"/>
    </row>
    <row r="2956" spans="1:2">
      <c r="A2956" s="126"/>
      <c r="B2956" s="680"/>
    </row>
    <row r="2957" spans="1:2">
      <c r="A2957" s="126"/>
      <c r="B2957" s="680"/>
    </row>
    <row r="2958" spans="1:2">
      <c r="A2958" s="126"/>
      <c r="B2958" s="680"/>
    </row>
    <row r="2959" spans="1:2">
      <c r="A2959" s="126"/>
      <c r="B2959" s="680"/>
    </row>
    <row r="2960" spans="1:2">
      <c r="A2960" s="126"/>
      <c r="B2960" s="680"/>
    </row>
    <row r="2961" spans="1:2">
      <c r="A2961" s="126"/>
      <c r="B2961" s="680"/>
    </row>
    <row r="2962" spans="1:2">
      <c r="A2962" s="126"/>
      <c r="B2962" s="680"/>
    </row>
    <row r="2963" spans="1:2">
      <c r="A2963" s="126"/>
      <c r="B2963" s="680"/>
    </row>
    <row r="2964" spans="1:2">
      <c r="A2964" s="126"/>
      <c r="B2964" s="680"/>
    </row>
    <row r="2965" spans="1:2">
      <c r="A2965" s="126"/>
      <c r="B2965" s="680"/>
    </row>
    <row r="2966" spans="1:2">
      <c r="A2966" s="126"/>
      <c r="B2966" s="680"/>
    </row>
    <row r="2967" spans="1:2">
      <c r="A2967" s="126"/>
      <c r="B2967" s="680"/>
    </row>
    <row r="2968" spans="1:2">
      <c r="A2968" s="126"/>
      <c r="B2968" s="680"/>
    </row>
    <row r="2969" spans="1:2">
      <c r="A2969" s="126"/>
      <c r="B2969" s="680"/>
    </row>
    <row r="2970" spans="1:2">
      <c r="A2970" s="126"/>
      <c r="B2970" s="680"/>
    </row>
    <row r="2971" spans="1:2">
      <c r="A2971" s="126"/>
      <c r="B2971" s="680"/>
    </row>
    <row r="2972" spans="1:2">
      <c r="A2972" s="126"/>
      <c r="B2972" s="680"/>
    </row>
    <row r="2973" spans="1:2">
      <c r="A2973" s="126"/>
      <c r="B2973" s="680"/>
    </row>
    <row r="2974" spans="1:2">
      <c r="A2974" s="126"/>
      <c r="B2974" s="680"/>
    </row>
    <row r="2975" spans="1:2">
      <c r="A2975" s="126"/>
      <c r="B2975" s="680"/>
    </row>
    <row r="2976" spans="1:2">
      <c r="A2976" s="126"/>
      <c r="B2976" s="680"/>
    </row>
    <row r="2977" spans="1:2">
      <c r="A2977" s="126"/>
      <c r="B2977" s="680"/>
    </row>
    <row r="2978" spans="1:2">
      <c r="A2978" s="126"/>
      <c r="B2978" s="680"/>
    </row>
    <row r="2979" spans="1:2">
      <c r="A2979" s="126"/>
      <c r="B2979" s="680"/>
    </row>
    <row r="2980" spans="1:2">
      <c r="A2980" s="126"/>
      <c r="B2980" s="680"/>
    </row>
    <row r="2981" spans="1:2">
      <c r="A2981" s="126"/>
      <c r="B2981" s="680"/>
    </row>
    <row r="2982" spans="1:2">
      <c r="A2982" s="126"/>
      <c r="B2982" s="680"/>
    </row>
    <row r="2983" spans="1:2">
      <c r="A2983" s="126"/>
      <c r="B2983" s="680"/>
    </row>
    <row r="2984" spans="1:2">
      <c r="A2984" s="126"/>
      <c r="B2984" s="680"/>
    </row>
    <row r="2985" spans="1:2">
      <c r="A2985" s="126"/>
      <c r="B2985" s="680"/>
    </row>
    <row r="2986" spans="1:2">
      <c r="A2986" s="126"/>
      <c r="B2986" s="680"/>
    </row>
    <row r="2987" spans="1:2">
      <c r="A2987" s="126"/>
      <c r="B2987" s="680"/>
    </row>
    <row r="2988" spans="1:2">
      <c r="A2988" s="126"/>
      <c r="B2988" s="680"/>
    </row>
    <row r="2989" spans="1:2">
      <c r="A2989" s="126"/>
      <c r="B2989" s="680"/>
    </row>
    <row r="2990" spans="1:2">
      <c r="A2990" s="126"/>
      <c r="B2990" s="680"/>
    </row>
    <row r="2991" spans="1:2">
      <c r="A2991" s="126"/>
      <c r="B2991" s="680"/>
    </row>
    <row r="2992" spans="1:2">
      <c r="A2992" s="126"/>
      <c r="B2992" s="680"/>
    </row>
    <row r="2993" spans="1:2">
      <c r="A2993" s="126"/>
      <c r="B2993" s="680"/>
    </row>
    <row r="2994" spans="1:2">
      <c r="A2994" s="126"/>
      <c r="B2994" s="680"/>
    </row>
    <row r="2995" spans="1:2">
      <c r="A2995" s="126"/>
      <c r="B2995" s="680"/>
    </row>
    <row r="2996" spans="1:2">
      <c r="A2996" s="126"/>
      <c r="B2996" s="680"/>
    </row>
    <row r="2997" spans="1:2">
      <c r="A2997" s="126"/>
      <c r="B2997" s="680"/>
    </row>
    <row r="2998" spans="1:2">
      <c r="A2998" s="126"/>
      <c r="B2998" s="680"/>
    </row>
    <row r="2999" spans="1:2">
      <c r="A2999" s="126"/>
      <c r="B2999" s="680"/>
    </row>
    <row r="3000" spans="1:2">
      <c r="A3000" s="126"/>
      <c r="B3000" s="680"/>
    </row>
    <row r="3001" spans="1:2">
      <c r="A3001" s="126"/>
      <c r="B3001" s="680"/>
    </row>
    <row r="3002" spans="1:2">
      <c r="A3002" s="126"/>
      <c r="B3002" s="680"/>
    </row>
    <row r="3003" spans="1:2">
      <c r="A3003" s="126"/>
      <c r="B3003" s="680"/>
    </row>
    <row r="3004" spans="1:2">
      <c r="A3004" s="126"/>
      <c r="B3004" s="680"/>
    </row>
    <row r="3005" spans="1:2">
      <c r="A3005" s="126"/>
      <c r="B3005" s="680"/>
    </row>
    <row r="3006" spans="1:2">
      <c r="A3006" s="126"/>
      <c r="B3006" s="680"/>
    </row>
    <row r="3007" spans="1:2">
      <c r="A3007" s="126"/>
      <c r="B3007" s="680"/>
    </row>
    <row r="3008" spans="1:2">
      <c r="A3008" s="126"/>
      <c r="B3008" s="680"/>
    </row>
    <row r="3009" spans="1:2">
      <c r="A3009" s="126"/>
      <c r="B3009" s="680"/>
    </row>
    <row r="3010" spans="1:2">
      <c r="A3010" s="126"/>
      <c r="B3010" s="680"/>
    </row>
    <row r="3011" spans="1:2">
      <c r="A3011" s="126"/>
      <c r="B3011" s="680"/>
    </row>
    <row r="3012" spans="1:2">
      <c r="A3012" s="126"/>
      <c r="B3012" s="680"/>
    </row>
    <row r="3013" spans="1:2">
      <c r="A3013" s="126"/>
      <c r="B3013" s="680"/>
    </row>
    <row r="3014" spans="1:2">
      <c r="A3014" s="126"/>
      <c r="B3014" s="680"/>
    </row>
    <row r="3015" spans="1:2">
      <c r="A3015" s="126"/>
      <c r="B3015" s="680"/>
    </row>
    <row r="3016" spans="1:2">
      <c r="A3016" s="126"/>
      <c r="B3016" s="680"/>
    </row>
    <row r="3017" spans="1:2">
      <c r="A3017" s="126"/>
      <c r="B3017" s="680"/>
    </row>
    <row r="3018" spans="1:2">
      <c r="A3018" s="126"/>
      <c r="B3018" s="680"/>
    </row>
    <row r="3019" spans="1:2">
      <c r="A3019" s="126"/>
      <c r="B3019" s="680"/>
    </row>
    <row r="3020" spans="1:2">
      <c r="A3020" s="126"/>
      <c r="B3020" s="680"/>
    </row>
    <row r="3021" spans="1:2">
      <c r="A3021" s="126"/>
      <c r="B3021" s="680"/>
    </row>
    <row r="3022" spans="1:2">
      <c r="A3022" s="126"/>
      <c r="B3022" s="680"/>
    </row>
    <row r="3023" spans="1:2">
      <c r="A3023" s="126"/>
      <c r="B3023" s="680"/>
    </row>
    <row r="3024" spans="1:2">
      <c r="A3024" s="126"/>
      <c r="B3024" s="680"/>
    </row>
    <row r="3025" spans="1:2">
      <c r="A3025" s="126"/>
      <c r="B3025" s="680"/>
    </row>
    <row r="3026" spans="1:2">
      <c r="A3026" s="126"/>
      <c r="B3026" s="680"/>
    </row>
    <row r="3027" spans="1:2">
      <c r="A3027" s="126"/>
      <c r="B3027" s="680"/>
    </row>
    <row r="3028" spans="1:2">
      <c r="A3028" s="126"/>
      <c r="B3028" s="680"/>
    </row>
    <row r="3029" spans="1:2">
      <c r="A3029" s="126"/>
      <c r="B3029" s="680"/>
    </row>
    <row r="3030" spans="1:2">
      <c r="A3030" s="126"/>
      <c r="B3030" s="680"/>
    </row>
    <row r="3031" spans="1:2">
      <c r="A3031" s="126"/>
      <c r="B3031" s="680"/>
    </row>
    <row r="3032" spans="1:2">
      <c r="A3032" s="126"/>
      <c r="B3032" s="680"/>
    </row>
    <row r="3033" spans="1:2">
      <c r="A3033" s="126"/>
      <c r="B3033" s="680"/>
    </row>
    <row r="3034" spans="1:2">
      <c r="A3034" s="126"/>
      <c r="B3034" s="680"/>
    </row>
    <row r="3035" spans="1:2">
      <c r="A3035" s="126"/>
      <c r="B3035" s="680"/>
    </row>
    <row r="3036" spans="1:2">
      <c r="A3036" s="126"/>
      <c r="B3036" s="680"/>
    </row>
    <row r="3037" spans="1:2">
      <c r="A3037" s="126"/>
      <c r="B3037" s="680"/>
    </row>
    <row r="3038" spans="1:2">
      <c r="A3038" s="126"/>
      <c r="B3038" s="680"/>
    </row>
    <row r="3039" spans="1:2">
      <c r="A3039" s="126"/>
      <c r="B3039" s="680"/>
    </row>
    <row r="3040" spans="1:2">
      <c r="A3040" s="126"/>
      <c r="B3040" s="680"/>
    </row>
    <row r="3041" spans="1:2">
      <c r="A3041" s="126"/>
      <c r="B3041" s="680"/>
    </row>
    <row r="3042" spans="1:2">
      <c r="A3042" s="126"/>
      <c r="B3042" s="680"/>
    </row>
    <row r="3043" spans="1:2">
      <c r="A3043" s="126"/>
      <c r="B3043" s="680"/>
    </row>
    <row r="3044" spans="1:2">
      <c r="A3044" s="126"/>
      <c r="B3044" s="680"/>
    </row>
    <row r="3045" spans="1:2">
      <c r="A3045" s="126"/>
      <c r="B3045" s="680"/>
    </row>
    <row r="3046" spans="1:2">
      <c r="A3046" s="126"/>
      <c r="B3046" s="680"/>
    </row>
    <row r="3047" spans="1:2">
      <c r="A3047" s="126"/>
      <c r="B3047" s="680"/>
    </row>
    <row r="3048" spans="1:2">
      <c r="A3048" s="126"/>
      <c r="B3048" s="680"/>
    </row>
    <row r="3049" spans="1:2">
      <c r="A3049" s="126"/>
      <c r="B3049" s="680"/>
    </row>
    <row r="3050" spans="1:2">
      <c r="A3050" s="126"/>
      <c r="B3050" s="680"/>
    </row>
    <row r="3051" spans="1:2">
      <c r="A3051" s="126"/>
      <c r="B3051" s="680"/>
    </row>
    <row r="3052" spans="1:2">
      <c r="A3052" s="126"/>
      <c r="B3052" s="680"/>
    </row>
    <row r="3053" spans="1:2">
      <c r="A3053" s="126"/>
      <c r="B3053" s="680"/>
    </row>
    <row r="3054" spans="1:2">
      <c r="A3054" s="126"/>
      <c r="B3054" s="680"/>
    </row>
    <row r="3055" spans="1:2">
      <c r="A3055" s="126"/>
      <c r="B3055" s="680"/>
    </row>
    <row r="3056" spans="1:2">
      <c r="A3056" s="126"/>
      <c r="B3056" s="680"/>
    </row>
    <row r="3057" spans="1:2">
      <c r="A3057" s="126"/>
      <c r="B3057" s="680"/>
    </row>
    <row r="3058" spans="1:2">
      <c r="A3058" s="126"/>
      <c r="B3058" s="680"/>
    </row>
    <row r="3059" spans="1:2">
      <c r="A3059" s="126"/>
      <c r="B3059" s="680"/>
    </row>
    <row r="3060" spans="1:2">
      <c r="A3060" s="126"/>
      <c r="B3060" s="680"/>
    </row>
    <row r="3061" spans="1:2">
      <c r="A3061" s="126"/>
      <c r="B3061" s="680"/>
    </row>
    <row r="3062" spans="1:2">
      <c r="A3062" s="126"/>
      <c r="B3062" s="680"/>
    </row>
    <row r="3063" spans="1:2">
      <c r="A3063" s="126"/>
      <c r="B3063" s="680"/>
    </row>
    <row r="3064" spans="1:2">
      <c r="A3064" s="126"/>
      <c r="B3064" s="680"/>
    </row>
    <row r="3065" spans="1:2">
      <c r="A3065" s="126"/>
      <c r="B3065" s="680"/>
    </row>
    <row r="3066" spans="1:2">
      <c r="A3066" s="126"/>
      <c r="B3066" s="680"/>
    </row>
    <row r="3067" spans="1:2">
      <c r="A3067" s="126"/>
      <c r="B3067" s="680"/>
    </row>
    <row r="3068" spans="1:2">
      <c r="A3068" s="126"/>
      <c r="B3068" s="680"/>
    </row>
    <row r="3069" spans="1:2">
      <c r="A3069" s="126"/>
      <c r="B3069" s="680"/>
    </row>
    <row r="3070" spans="1:2">
      <c r="A3070" s="126"/>
      <c r="B3070" s="680"/>
    </row>
    <row r="3071" spans="1:2">
      <c r="A3071" s="126"/>
      <c r="B3071" s="680"/>
    </row>
    <row r="3072" spans="1:2">
      <c r="A3072" s="126"/>
      <c r="B3072" s="680"/>
    </row>
    <row r="3073" spans="1:2">
      <c r="A3073" s="126"/>
      <c r="B3073" s="680"/>
    </row>
    <row r="3074" spans="1:2">
      <c r="A3074" s="126"/>
      <c r="B3074" s="680"/>
    </row>
    <row r="3075" spans="1:2">
      <c r="A3075" s="126"/>
      <c r="B3075" s="680"/>
    </row>
    <row r="3076" spans="1:2">
      <c r="A3076" s="126"/>
      <c r="B3076" s="680"/>
    </row>
    <row r="3077" spans="1:2">
      <c r="A3077" s="126"/>
      <c r="B3077" s="680"/>
    </row>
    <row r="3078" spans="1:2">
      <c r="A3078" s="126"/>
      <c r="B3078" s="680"/>
    </row>
    <row r="3079" spans="1:2">
      <c r="A3079" s="126"/>
      <c r="B3079" s="680"/>
    </row>
    <row r="3080" spans="1:2">
      <c r="A3080" s="126"/>
      <c r="B3080" s="680"/>
    </row>
    <row r="3081" spans="1:2">
      <c r="A3081" s="126"/>
      <c r="B3081" s="680"/>
    </row>
    <row r="3082" spans="1:2">
      <c r="A3082" s="126"/>
      <c r="B3082" s="680"/>
    </row>
    <row r="3083" spans="1:2">
      <c r="A3083" s="126"/>
      <c r="B3083" s="680"/>
    </row>
    <row r="3084" spans="1:2">
      <c r="A3084" s="126"/>
      <c r="B3084" s="680"/>
    </row>
    <row r="3085" spans="1:2">
      <c r="A3085" s="126"/>
      <c r="B3085" s="680"/>
    </row>
    <row r="3086" spans="1:2">
      <c r="A3086" s="126"/>
      <c r="B3086" s="680"/>
    </row>
    <row r="3087" spans="1:2">
      <c r="A3087" s="126"/>
      <c r="B3087" s="680"/>
    </row>
    <row r="3088" spans="1:2">
      <c r="A3088" s="126"/>
      <c r="B3088" s="680"/>
    </row>
    <row r="3089" spans="1:2">
      <c r="A3089" s="126"/>
      <c r="B3089" s="680"/>
    </row>
    <row r="3090" spans="1:2">
      <c r="A3090" s="126"/>
      <c r="B3090" s="680"/>
    </row>
    <row r="3091" spans="1:2">
      <c r="A3091" s="126"/>
      <c r="B3091" s="680"/>
    </row>
    <row r="3092" spans="1:2">
      <c r="A3092" s="126"/>
      <c r="B3092" s="680"/>
    </row>
    <row r="3093" spans="1:2">
      <c r="A3093" s="126"/>
      <c r="B3093" s="680"/>
    </row>
    <row r="3094" spans="1:2">
      <c r="A3094" s="126"/>
      <c r="B3094" s="680"/>
    </row>
    <row r="3095" spans="1:2">
      <c r="A3095" s="126"/>
      <c r="B3095" s="680"/>
    </row>
    <row r="3096" spans="1:2">
      <c r="A3096" s="126"/>
      <c r="B3096" s="680"/>
    </row>
    <row r="3097" spans="1:2">
      <c r="A3097" s="126"/>
      <c r="B3097" s="680"/>
    </row>
    <row r="3098" spans="1:2">
      <c r="A3098" s="126"/>
      <c r="B3098" s="680"/>
    </row>
    <row r="3099" spans="1:2">
      <c r="A3099" s="126"/>
      <c r="B3099" s="680"/>
    </row>
    <row r="3100" spans="1:2">
      <c r="A3100" s="126"/>
      <c r="B3100" s="680"/>
    </row>
    <row r="3101" spans="1:2">
      <c r="A3101" s="126"/>
      <c r="B3101" s="680"/>
    </row>
    <row r="3102" spans="1:2">
      <c r="A3102" s="126"/>
      <c r="B3102" s="680"/>
    </row>
    <row r="3103" spans="1:2">
      <c r="A3103" s="126"/>
      <c r="B3103" s="680"/>
    </row>
    <row r="3104" spans="1:2">
      <c r="A3104" s="126"/>
      <c r="B3104" s="680"/>
    </row>
    <row r="3105" spans="1:2">
      <c r="A3105" s="126"/>
      <c r="B3105" s="680"/>
    </row>
    <row r="3106" spans="1:2">
      <c r="A3106" s="126"/>
      <c r="B3106" s="680"/>
    </row>
    <row r="3107" spans="1:2">
      <c r="A3107" s="126"/>
      <c r="B3107" s="680"/>
    </row>
    <row r="3108" spans="1:2">
      <c r="A3108" s="126"/>
      <c r="B3108" s="680"/>
    </row>
    <row r="3109" spans="1:2">
      <c r="A3109" s="126"/>
      <c r="B3109" s="680"/>
    </row>
    <row r="3110" spans="1:2">
      <c r="A3110" s="126"/>
      <c r="B3110" s="680"/>
    </row>
    <row r="3111" spans="1:2">
      <c r="A3111" s="126"/>
      <c r="B3111" s="680"/>
    </row>
    <row r="3112" spans="1:2">
      <c r="A3112" s="126"/>
      <c r="B3112" s="680"/>
    </row>
    <row r="3113" spans="1:2">
      <c r="A3113" s="126"/>
      <c r="B3113" s="680"/>
    </row>
    <row r="3114" spans="1:2">
      <c r="A3114" s="126"/>
      <c r="B3114" s="680"/>
    </row>
    <row r="3115" spans="1:2">
      <c r="A3115" s="126"/>
      <c r="B3115" s="680"/>
    </row>
    <row r="3116" spans="1:2">
      <c r="A3116" s="126"/>
      <c r="B3116" s="680"/>
    </row>
    <row r="3117" spans="1:2">
      <c r="A3117" s="126"/>
      <c r="B3117" s="680"/>
    </row>
    <row r="3118" spans="1:2">
      <c r="A3118" s="126"/>
      <c r="B3118" s="680"/>
    </row>
    <row r="3119" spans="1:2">
      <c r="A3119" s="126"/>
      <c r="B3119" s="680"/>
    </row>
    <row r="3120" spans="1:2">
      <c r="A3120" s="126"/>
      <c r="B3120" s="680"/>
    </row>
    <row r="3121" spans="1:2">
      <c r="A3121" s="126"/>
      <c r="B3121" s="680"/>
    </row>
    <row r="3122" spans="1:2">
      <c r="A3122" s="126"/>
      <c r="B3122" s="680"/>
    </row>
    <row r="3123" spans="1:2">
      <c r="A3123" s="126"/>
      <c r="B3123" s="680"/>
    </row>
    <row r="3124" spans="1:2">
      <c r="A3124" s="126"/>
      <c r="B3124" s="680"/>
    </row>
    <row r="3125" spans="1:2">
      <c r="A3125" s="126"/>
      <c r="B3125" s="680"/>
    </row>
    <row r="3126" spans="1:2">
      <c r="A3126" s="126"/>
      <c r="B3126" s="680"/>
    </row>
    <row r="3127" spans="1:2">
      <c r="A3127" s="126"/>
      <c r="B3127" s="680"/>
    </row>
    <row r="3128" spans="1:2">
      <c r="A3128" s="126"/>
      <c r="B3128" s="680"/>
    </row>
    <row r="3129" spans="1:2">
      <c r="A3129" s="126"/>
      <c r="B3129" s="680"/>
    </row>
    <row r="3130" spans="1:2">
      <c r="A3130" s="126"/>
      <c r="B3130" s="680"/>
    </row>
    <row r="3131" spans="1:2">
      <c r="A3131" s="126"/>
      <c r="B3131" s="680"/>
    </row>
    <row r="3132" spans="1:2">
      <c r="A3132" s="126"/>
      <c r="B3132" s="680"/>
    </row>
    <row r="3133" spans="1:2">
      <c r="A3133" s="126"/>
      <c r="B3133" s="680"/>
    </row>
    <row r="3134" spans="1:2">
      <c r="A3134" s="126"/>
      <c r="B3134" s="680"/>
    </row>
    <row r="3135" spans="1:2">
      <c r="A3135" s="126"/>
      <c r="B3135" s="680"/>
    </row>
    <row r="3136" spans="1:2">
      <c r="A3136" s="126"/>
      <c r="B3136" s="680"/>
    </row>
    <row r="3137" spans="1:2">
      <c r="A3137" s="126"/>
      <c r="B3137" s="680"/>
    </row>
    <row r="3138" spans="1:2">
      <c r="A3138" s="126"/>
      <c r="B3138" s="680"/>
    </row>
    <row r="3139" spans="1:2">
      <c r="A3139" s="126"/>
      <c r="B3139" s="680"/>
    </row>
    <row r="3140" spans="1:2">
      <c r="A3140" s="126"/>
      <c r="B3140" s="680"/>
    </row>
    <row r="3141" spans="1:2">
      <c r="A3141" s="126"/>
      <c r="B3141" s="680"/>
    </row>
    <row r="3142" spans="1:2">
      <c r="A3142" s="126"/>
      <c r="B3142" s="680"/>
    </row>
    <row r="3143" spans="1:2">
      <c r="A3143" s="126"/>
      <c r="B3143" s="680"/>
    </row>
    <row r="3144" spans="1:2">
      <c r="A3144" s="126"/>
      <c r="B3144" s="680"/>
    </row>
    <row r="3145" spans="1:2">
      <c r="A3145" s="126"/>
      <c r="B3145" s="680"/>
    </row>
    <row r="3146" spans="1:2">
      <c r="A3146" s="126"/>
      <c r="B3146" s="680"/>
    </row>
    <row r="3147" spans="1:2">
      <c r="A3147" s="126"/>
      <c r="B3147" s="680"/>
    </row>
    <row r="3148" spans="1:2">
      <c r="A3148" s="126"/>
      <c r="B3148" s="680"/>
    </row>
    <row r="3149" spans="1:2">
      <c r="A3149" s="126"/>
      <c r="B3149" s="680"/>
    </row>
    <row r="3150" spans="1:2">
      <c r="A3150" s="126"/>
      <c r="B3150" s="680"/>
    </row>
    <row r="3151" spans="1:2">
      <c r="A3151" s="126"/>
      <c r="B3151" s="680"/>
    </row>
    <row r="3152" spans="1:2">
      <c r="A3152" s="126"/>
      <c r="B3152" s="680"/>
    </row>
    <row r="3153" spans="1:2">
      <c r="A3153" s="126"/>
      <c r="B3153" s="680"/>
    </row>
    <row r="3154" spans="1:2">
      <c r="A3154" s="126"/>
      <c r="B3154" s="680"/>
    </row>
    <row r="3155" spans="1:2">
      <c r="A3155" s="126"/>
      <c r="B3155" s="680"/>
    </row>
    <row r="3156" spans="1:2">
      <c r="A3156" s="126"/>
      <c r="B3156" s="680"/>
    </row>
    <row r="3157" spans="1:2">
      <c r="A3157" s="126"/>
      <c r="B3157" s="680"/>
    </row>
    <row r="3158" spans="1:2">
      <c r="A3158" s="126"/>
      <c r="B3158" s="680"/>
    </row>
    <row r="3159" spans="1:2">
      <c r="A3159" s="126"/>
      <c r="B3159" s="680"/>
    </row>
    <row r="3160" spans="1:2">
      <c r="A3160" s="126"/>
      <c r="B3160" s="680"/>
    </row>
    <row r="3161" spans="1:2">
      <c r="A3161" s="126"/>
      <c r="B3161" s="680"/>
    </row>
    <row r="3162" spans="1:2">
      <c r="A3162" s="126"/>
      <c r="B3162" s="680"/>
    </row>
    <row r="3163" spans="1:2">
      <c r="A3163" s="126"/>
      <c r="B3163" s="680"/>
    </row>
    <row r="3164" spans="1:2">
      <c r="A3164" s="126"/>
      <c r="B3164" s="680"/>
    </row>
    <row r="3165" spans="1:2">
      <c r="A3165" s="126"/>
      <c r="B3165" s="680"/>
    </row>
    <row r="3166" spans="1:2">
      <c r="A3166" s="126"/>
      <c r="B3166" s="680"/>
    </row>
    <row r="3167" spans="1:2">
      <c r="A3167" s="126"/>
      <c r="B3167" s="680"/>
    </row>
    <row r="3168" spans="1:2">
      <c r="A3168" s="126"/>
      <c r="B3168" s="680"/>
    </row>
    <row r="3169" spans="1:2">
      <c r="A3169" s="126"/>
      <c r="B3169" s="680"/>
    </row>
    <row r="3170" spans="1:2">
      <c r="A3170" s="126"/>
      <c r="B3170" s="680"/>
    </row>
    <row r="3171" spans="1:2">
      <c r="A3171" s="126"/>
      <c r="B3171" s="680"/>
    </row>
    <row r="3172" spans="1:2">
      <c r="A3172" s="126"/>
      <c r="B3172" s="680"/>
    </row>
    <row r="3173" spans="1:2">
      <c r="A3173" s="126"/>
      <c r="B3173" s="680"/>
    </row>
    <row r="3174" spans="1:2">
      <c r="A3174" s="126"/>
      <c r="B3174" s="680"/>
    </row>
    <row r="3175" spans="1:2">
      <c r="A3175" s="126"/>
      <c r="B3175" s="680"/>
    </row>
    <row r="3176" spans="1:2">
      <c r="A3176" s="126"/>
      <c r="B3176" s="680"/>
    </row>
    <row r="3177" spans="1:2">
      <c r="A3177" s="126"/>
      <c r="B3177" s="680"/>
    </row>
    <row r="3178" spans="1:2">
      <c r="A3178" s="126"/>
      <c r="B3178" s="680"/>
    </row>
    <row r="3179" spans="1:2">
      <c r="A3179" s="126"/>
      <c r="B3179" s="680"/>
    </row>
    <row r="3180" spans="1:2">
      <c r="A3180" s="126"/>
      <c r="B3180" s="680"/>
    </row>
    <row r="3181" spans="1:2">
      <c r="A3181" s="126"/>
      <c r="B3181" s="680"/>
    </row>
    <row r="3182" spans="1:2">
      <c r="A3182" s="126"/>
      <c r="B3182" s="680"/>
    </row>
    <row r="3183" spans="1:2">
      <c r="A3183" s="126"/>
      <c r="B3183" s="680"/>
    </row>
    <row r="3184" spans="1:2">
      <c r="A3184" s="126"/>
      <c r="B3184" s="680"/>
    </row>
    <row r="3185" spans="1:2">
      <c r="A3185" s="126"/>
      <c r="B3185" s="680"/>
    </row>
    <row r="3186" spans="1:2">
      <c r="A3186" s="126"/>
      <c r="B3186" s="680"/>
    </row>
    <row r="3187" spans="1:2">
      <c r="A3187" s="126"/>
      <c r="B3187" s="680"/>
    </row>
    <row r="3188" spans="1:2">
      <c r="A3188" s="126"/>
      <c r="B3188" s="680"/>
    </row>
    <row r="3189" spans="1:2">
      <c r="A3189" s="126"/>
      <c r="B3189" s="680"/>
    </row>
    <row r="3190" spans="1:2">
      <c r="A3190" s="126"/>
      <c r="B3190" s="680"/>
    </row>
    <row r="3191" spans="1:2">
      <c r="A3191" s="126"/>
      <c r="B3191" s="680"/>
    </row>
    <row r="3192" spans="1:2">
      <c r="A3192" s="126"/>
      <c r="B3192" s="680"/>
    </row>
    <row r="3193" spans="1:2">
      <c r="A3193" s="126"/>
      <c r="B3193" s="680"/>
    </row>
    <row r="3194" spans="1:2">
      <c r="A3194" s="126"/>
      <c r="B3194" s="680"/>
    </row>
    <row r="3195" spans="1:2">
      <c r="A3195" s="126"/>
      <c r="B3195" s="680"/>
    </row>
    <row r="3196" spans="1:2">
      <c r="A3196" s="126"/>
      <c r="B3196" s="680"/>
    </row>
    <row r="3197" spans="1:2">
      <c r="A3197" s="126"/>
      <c r="B3197" s="680"/>
    </row>
    <row r="3198" spans="1:2">
      <c r="A3198" s="126"/>
      <c r="B3198" s="680"/>
    </row>
    <row r="3199" spans="1:2">
      <c r="A3199" s="126"/>
      <c r="B3199" s="680"/>
    </row>
    <row r="3200" spans="1:2">
      <c r="A3200" s="126"/>
      <c r="B3200" s="680"/>
    </row>
    <row r="3201" spans="1:2">
      <c r="A3201" s="126"/>
      <c r="B3201" s="680"/>
    </row>
    <row r="3202" spans="1:2">
      <c r="A3202" s="126"/>
      <c r="B3202" s="680"/>
    </row>
    <row r="3203" spans="1:2">
      <c r="A3203" s="126"/>
      <c r="B3203" s="680"/>
    </row>
    <row r="3204" spans="1:2">
      <c r="A3204" s="126"/>
      <c r="B3204" s="680"/>
    </row>
    <row r="3205" spans="1:2">
      <c r="A3205" s="126"/>
      <c r="B3205" s="680"/>
    </row>
    <row r="3206" spans="1:2">
      <c r="A3206" s="126"/>
      <c r="B3206" s="680"/>
    </row>
    <row r="3207" spans="1:2">
      <c r="A3207" s="126"/>
      <c r="B3207" s="680"/>
    </row>
    <row r="3208" spans="1:2">
      <c r="A3208" s="126"/>
      <c r="B3208" s="680"/>
    </row>
    <row r="3209" spans="1:2">
      <c r="A3209" s="126"/>
      <c r="B3209" s="680"/>
    </row>
    <row r="3210" spans="1:2">
      <c r="A3210" s="126"/>
      <c r="B3210" s="680"/>
    </row>
    <row r="3211" spans="1:2">
      <c r="A3211" s="126"/>
      <c r="B3211" s="680"/>
    </row>
    <row r="3212" spans="1:2">
      <c r="A3212" s="126"/>
      <c r="B3212" s="680"/>
    </row>
    <row r="3213" spans="1:2">
      <c r="A3213" s="126"/>
      <c r="B3213" s="680"/>
    </row>
    <row r="3214" spans="1:2">
      <c r="A3214" s="126"/>
      <c r="B3214" s="680"/>
    </row>
    <row r="3215" spans="1:2">
      <c r="A3215" s="126"/>
      <c r="B3215" s="680"/>
    </row>
    <row r="3216" spans="1:2">
      <c r="A3216" s="126"/>
      <c r="B3216" s="680"/>
    </row>
    <row r="3217" spans="1:2">
      <c r="A3217" s="126"/>
      <c r="B3217" s="680"/>
    </row>
    <row r="3218" spans="1:2">
      <c r="A3218" s="126"/>
      <c r="B3218" s="680"/>
    </row>
    <row r="3219" spans="1:2">
      <c r="A3219" s="126"/>
      <c r="B3219" s="680"/>
    </row>
    <row r="3220" spans="1:2">
      <c r="A3220" s="126"/>
      <c r="B3220" s="680"/>
    </row>
    <row r="3221" spans="1:2">
      <c r="A3221" s="126"/>
      <c r="B3221" s="680"/>
    </row>
    <row r="3222" spans="1:2">
      <c r="A3222" s="126"/>
      <c r="B3222" s="680"/>
    </row>
    <row r="3223" spans="1:2">
      <c r="A3223" s="126"/>
      <c r="B3223" s="680"/>
    </row>
    <row r="3224" spans="1:2">
      <c r="A3224" s="126"/>
      <c r="B3224" s="680"/>
    </row>
    <row r="3225" spans="1:2">
      <c r="A3225" s="126"/>
      <c r="B3225" s="680"/>
    </row>
    <row r="3226" spans="1:2">
      <c r="A3226" s="126"/>
      <c r="B3226" s="680"/>
    </row>
    <row r="3227" spans="1:2">
      <c r="A3227" s="126"/>
      <c r="B3227" s="680"/>
    </row>
    <row r="3228" spans="1:2">
      <c r="A3228" s="126"/>
      <c r="B3228" s="680"/>
    </row>
    <row r="3229" spans="1:2">
      <c r="A3229" s="126"/>
      <c r="B3229" s="680"/>
    </row>
    <row r="3230" spans="1:2">
      <c r="A3230" s="126"/>
      <c r="B3230" s="680"/>
    </row>
    <row r="3231" spans="1:2">
      <c r="A3231" s="126"/>
      <c r="B3231" s="680"/>
    </row>
    <row r="3232" spans="1:2">
      <c r="A3232" s="126"/>
      <c r="B3232" s="680"/>
    </row>
    <row r="3233" spans="1:2">
      <c r="A3233" s="126"/>
      <c r="B3233" s="680"/>
    </row>
    <row r="3234" spans="1:2">
      <c r="A3234" s="126"/>
      <c r="B3234" s="680"/>
    </row>
    <row r="3235" spans="1:2">
      <c r="A3235" s="126"/>
      <c r="B3235" s="680"/>
    </row>
    <row r="3236" spans="1:2">
      <c r="A3236" s="126"/>
      <c r="B3236" s="680"/>
    </row>
    <row r="3237" spans="1:2">
      <c r="A3237" s="126"/>
      <c r="B3237" s="680"/>
    </row>
    <row r="3238" spans="1:2">
      <c r="A3238" s="126"/>
      <c r="B3238" s="680"/>
    </row>
    <row r="3239" spans="1:2">
      <c r="A3239" s="126"/>
      <c r="B3239" s="680"/>
    </row>
    <row r="3240" spans="1:2">
      <c r="A3240" s="126"/>
      <c r="B3240" s="680"/>
    </row>
    <row r="3241" spans="1:2">
      <c r="A3241" s="126"/>
      <c r="B3241" s="680"/>
    </row>
    <row r="3242" spans="1:2">
      <c r="A3242" s="126"/>
      <c r="B3242" s="680"/>
    </row>
    <row r="3243" spans="1:2">
      <c r="A3243" s="126"/>
      <c r="B3243" s="680"/>
    </row>
    <row r="3244" spans="1:2">
      <c r="A3244" s="126"/>
      <c r="B3244" s="680"/>
    </row>
    <row r="3245" spans="1:2">
      <c r="A3245" s="126"/>
      <c r="B3245" s="680"/>
    </row>
    <row r="3246" spans="1:2">
      <c r="A3246" s="126"/>
      <c r="B3246" s="680"/>
    </row>
    <row r="3247" spans="1:2">
      <c r="A3247" s="126"/>
      <c r="B3247" s="680"/>
    </row>
    <row r="3248" spans="1:2">
      <c r="A3248" s="126"/>
      <c r="B3248" s="680"/>
    </row>
    <row r="3249" spans="1:2">
      <c r="A3249" s="126"/>
      <c r="B3249" s="680"/>
    </row>
    <row r="3250" spans="1:2">
      <c r="A3250" s="126"/>
      <c r="B3250" s="680"/>
    </row>
    <row r="3251" spans="1:2">
      <c r="A3251" s="126"/>
      <c r="B3251" s="680"/>
    </row>
    <row r="3252" spans="1:2">
      <c r="A3252" s="126"/>
      <c r="B3252" s="680"/>
    </row>
    <row r="3253" spans="1:2">
      <c r="A3253" s="126"/>
      <c r="B3253" s="680"/>
    </row>
    <row r="3254" spans="1:2">
      <c r="A3254" s="126"/>
      <c r="B3254" s="680"/>
    </row>
    <row r="3255" spans="1:2">
      <c r="A3255" s="126"/>
      <c r="B3255" s="680"/>
    </row>
    <row r="3256" spans="1:2">
      <c r="A3256" s="126"/>
      <c r="B3256" s="680"/>
    </row>
    <row r="3257" spans="1:2">
      <c r="A3257" s="126"/>
      <c r="B3257" s="680"/>
    </row>
    <row r="3258" spans="1:2">
      <c r="A3258" s="126"/>
      <c r="B3258" s="680"/>
    </row>
    <row r="3259" spans="1:2">
      <c r="A3259" s="126"/>
      <c r="B3259" s="680"/>
    </row>
    <row r="3260" spans="1:2">
      <c r="A3260" s="126"/>
      <c r="B3260" s="680"/>
    </row>
    <row r="3261" spans="1:2">
      <c r="A3261" s="126"/>
      <c r="B3261" s="680"/>
    </row>
    <row r="3262" spans="1:2">
      <c r="A3262" s="126"/>
      <c r="B3262" s="680"/>
    </row>
    <row r="3263" spans="1:2">
      <c r="A3263" s="126"/>
      <c r="B3263" s="680"/>
    </row>
    <row r="3264" spans="1:2">
      <c r="A3264" s="126"/>
      <c r="B3264" s="680"/>
    </row>
    <row r="3265" spans="1:2">
      <c r="A3265" s="126"/>
      <c r="B3265" s="680"/>
    </row>
    <row r="3266" spans="1:2">
      <c r="A3266" s="126"/>
      <c r="B3266" s="680"/>
    </row>
    <row r="3267" spans="1:2">
      <c r="A3267" s="126"/>
      <c r="B3267" s="680"/>
    </row>
    <row r="3268" spans="1:2">
      <c r="A3268" s="126"/>
      <c r="B3268" s="680"/>
    </row>
    <row r="3269" spans="1:2">
      <c r="A3269" s="126"/>
      <c r="B3269" s="680"/>
    </row>
    <row r="3270" spans="1:2">
      <c r="A3270" s="126"/>
      <c r="B3270" s="680"/>
    </row>
    <row r="3271" spans="1:2">
      <c r="A3271" s="126"/>
      <c r="B3271" s="680"/>
    </row>
    <row r="3272" spans="1:2">
      <c r="A3272" s="126"/>
      <c r="B3272" s="680"/>
    </row>
    <row r="3273" spans="1:2">
      <c r="A3273" s="126"/>
      <c r="B3273" s="680"/>
    </row>
    <row r="3274" spans="1:2">
      <c r="A3274" s="126"/>
      <c r="B3274" s="680"/>
    </row>
    <row r="3275" spans="1:2">
      <c r="A3275" s="126"/>
      <c r="B3275" s="680"/>
    </row>
    <row r="3276" spans="1:2">
      <c r="A3276" s="126"/>
      <c r="B3276" s="680"/>
    </row>
    <row r="3277" spans="1:2">
      <c r="A3277" s="126"/>
      <c r="B3277" s="680"/>
    </row>
    <row r="3278" spans="1:2">
      <c r="A3278" s="126"/>
      <c r="B3278" s="680"/>
    </row>
    <row r="3279" spans="1:2">
      <c r="A3279" s="126"/>
      <c r="B3279" s="680"/>
    </row>
    <row r="3280" spans="1:2">
      <c r="A3280" s="126"/>
      <c r="B3280" s="680"/>
    </row>
    <row r="3281" spans="1:2">
      <c r="A3281" s="126"/>
      <c r="B3281" s="680"/>
    </row>
    <row r="3282" spans="1:2">
      <c r="A3282" s="126"/>
      <c r="B3282" s="680"/>
    </row>
    <row r="3283" spans="1:2">
      <c r="A3283" s="126"/>
      <c r="B3283" s="680"/>
    </row>
    <row r="3284" spans="1:2">
      <c r="A3284" s="126"/>
      <c r="B3284" s="680"/>
    </row>
    <row r="3285" spans="1:2">
      <c r="A3285" s="126"/>
      <c r="B3285" s="680"/>
    </row>
    <row r="3286" spans="1:2">
      <c r="A3286" s="126"/>
      <c r="B3286" s="680"/>
    </row>
    <row r="3287" spans="1:2">
      <c r="A3287" s="126"/>
      <c r="B3287" s="680"/>
    </row>
    <row r="3288" spans="1:2">
      <c r="A3288" s="126"/>
      <c r="B3288" s="680"/>
    </row>
    <row r="3289" spans="1:2">
      <c r="A3289" s="126"/>
      <c r="B3289" s="680"/>
    </row>
    <row r="3290" spans="1:2">
      <c r="A3290" s="126"/>
      <c r="B3290" s="680"/>
    </row>
    <row r="3291" spans="1:2">
      <c r="A3291" s="126"/>
      <c r="B3291" s="680"/>
    </row>
    <row r="3292" spans="1:2">
      <c r="A3292" s="126"/>
      <c r="B3292" s="680"/>
    </row>
    <row r="3293" spans="1:2">
      <c r="A3293" s="126"/>
      <c r="B3293" s="680"/>
    </row>
    <row r="3294" spans="1:2">
      <c r="A3294" s="126"/>
      <c r="B3294" s="680"/>
    </row>
    <row r="3295" spans="1:2">
      <c r="A3295" s="126"/>
      <c r="B3295" s="680"/>
    </row>
    <row r="3296" spans="1:2">
      <c r="A3296" s="126"/>
      <c r="B3296" s="680"/>
    </row>
    <row r="3297" spans="1:2">
      <c r="A3297" s="126"/>
      <c r="B3297" s="680"/>
    </row>
    <row r="3298" spans="1:2">
      <c r="A3298" s="126"/>
      <c r="B3298" s="680"/>
    </row>
    <row r="3299" spans="1:2">
      <c r="A3299" s="126"/>
      <c r="B3299" s="680"/>
    </row>
    <row r="3300" spans="1:2">
      <c r="A3300" s="126"/>
      <c r="B3300" s="680"/>
    </row>
    <row r="3301" spans="1:2">
      <c r="A3301" s="126"/>
      <c r="B3301" s="680"/>
    </row>
    <row r="3302" spans="1:2">
      <c r="A3302" s="126"/>
      <c r="B3302" s="680"/>
    </row>
    <row r="3303" spans="1:2">
      <c r="A3303" s="126"/>
      <c r="B3303" s="680"/>
    </row>
    <row r="3304" spans="1:2">
      <c r="A3304" s="126"/>
      <c r="B3304" s="680"/>
    </row>
    <row r="3305" spans="1:2">
      <c r="A3305" s="126"/>
      <c r="B3305" s="680"/>
    </row>
    <row r="3306" spans="1:2">
      <c r="A3306" s="126"/>
      <c r="B3306" s="680"/>
    </row>
    <row r="3307" spans="1:2">
      <c r="A3307" s="126"/>
      <c r="B3307" s="680"/>
    </row>
    <row r="3308" spans="1:2">
      <c r="A3308" s="126"/>
      <c r="B3308" s="680"/>
    </row>
    <row r="3309" spans="1:2">
      <c r="A3309" s="126"/>
      <c r="B3309" s="680"/>
    </row>
    <row r="3310" spans="1:2">
      <c r="A3310" s="126"/>
      <c r="B3310" s="680"/>
    </row>
    <row r="3311" spans="1:2">
      <c r="A3311" s="126"/>
      <c r="B3311" s="680"/>
    </row>
    <row r="3312" spans="1:2">
      <c r="A3312" s="126"/>
      <c r="B3312" s="680"/>
    </row>
    <row r="3313" spans="1:2">
      <c r="A3313" s="126"/>
      <c r="B3313" s="680"/>
    </row>
    <row r="3314" spans="1:2">
      <c r="A3314" s="126"/>
      <c r="B3314" s="680"/>
    </row>
    <row r="3315" spans="1:2">
      <c r="A3315" s="126"/>
      <c r="B3315" s="680"/>
    </row>
    <row r="3316" spans="1:2">
      <c r="A3316" s="126"/>
      <c r="B3316" s="680"/>
    </row>
    <row r="3317" spans="1:2">
      <c r="A3317" s="126"/>
      <c r="B3317" s="680"/>
    </row>
    <row r="3318" spans="1:2">
      <c r="A3318" s="126"/>
      <c r="B3318" s="680"/>
    </row>
    <row r="3319" spans="1:2">
      <c r="A3319" s="126"/>
      <c r="B3319" s="680"/>
    </row>
    <row r="3320" spans="1:2">
      <c r="A3320" s="126"/>
      <c r="B3320" s="680"/>
    </row>
    <row r="3321" spans="1:2">
      <c r="A3321" s="126"/>
      <c r="B3321" s="680"/>
    </row>
    <row r="3322" spans="1:2">
      <c r="A3322" s="126"/>
      <c r="B3322" s="680"/>
    </row>
    <row r="3323" spans="1:2">
      <c r="A3323" s="126"/>
      <c r="B3323" s="680"/>
    </row>
    <row r="3324" spans="1:2">
      <c r="A3324" s="126"/>
      <c r="B3324" s="680"/>
    </row>
    <row r="3325" spans="1:2">
      <c r="A3325" s="126"/>
      <c r="B3325" s="680"/>
    </row>
    <row r="3326" spans="1:2">
      <c r="A3326" s="126"/>
      <c r="B3326" s="680"/>
    </row>
    <row r="3327" spans="1:2">
      <c r="A3327" s="126"/>
      <c r="B3327" s="680"/>
    </row>
    <row r="3328" spans="1:2">
      <c r="A3328" s="126"/>
      <c r="B3328" s="680"/>
    </row>
    <row r="3329" spans="1:2">
      <c r="A3329" s="126"/>
      <c r="B3329" s="680"/>
    </row>
    <row r="3330" spans="1:2">
      <c r="A3330" s="126"/>
      <c r="B3330" s="680"/>
    </row>
    <row r="3331" spans="1:2">
      <c r="A3331" s="126"/>
      <c r="B3331" s="680"/>
    </row>
    <row r="3332" spans="1:2">
      <c r="A3332" s="126"/>
      <c r="B3332" s="680"/>
    </row>
    <row r="3333" spans="1:2">
      <c r="A3333" s="126"/>
      <c r="B3333" s="680"/>
    </row>
    <row r="3334" spans="1:2">
      <c r="A3334" s="126"/>
      <c r="B3334" s="680"/>
    </row>
    <row r="3335" spans="1:2">
      <c r="A3335" s="126"/>
      <c r="B3335" s="680"/>
    </row>
    <row r="3336" spans="1:2">
      <c r="A3336" s="126"/>
      <c r="B3336" s="680"/>
    </row>
    <row r="3337" spans="1:2">
      <c r="A3337" s="126"/>
      <c r="B3337" s="680"/>
    </row>
    <row r="3338" spans="1:2">
      <c r="A3338" s="126"/>
      <c r="B3338" s="680"/>
    </row>
    <row r="3339" spans="1:2">
      <c r="A3339" s="126"/>
      <c r="B3339" s="680"/>
    </row>
    <row r="3340" spans="1:2">
      <c r="A3340" s="126"/>
      <c r="B3340" s="680"/>
    </row>
    <row r="3341" spans="1:2">
      <c r="A3341" s="126"/>
      <c r="B3341" s="680"/>
    </row>
    <row r="3342" spans="1:2">
      <c r="A3342" s="126"/>
      <c r="B3342" s="680"/>
    </row>
    <row r="3343" spans="1:2">
      <c r="A3343" s="126"/>
      <c r="B3343" s="680"/>
    </row>
    <row r="3344" spans="1:2">
      <c r="A3344" s="126"/>
      <c r="B3344" s="680"/>
    </row>
    <row r="3345" spans="1:2">
      <c r="A3345" s="126"/>
      <c r="B3345" s="680"/>
    </row>
    <row r="3346" spans="1:2">
      <c r="A3346" s="126"/>
      <c r="B3346" s="680"/>
    </row>
    <row r="3347" spans="1:2">
      <c r="A3347" s="126"/>
      <c r="B3347" s="680"/>
    </row>
    <row r="3348" spans="1:2">
      <c r="A3348" s="126"/>
      <c r="B3348" s="680"/>
    </row>
    <row r="3349" spans="1:2">
      <c r="A3349" s="126"/>
      <c r="B3349" s="680"/>
    </row>
    <row r="3350" spans="1:2">
      <c r="A3350" s="126"/>
      <c r="B3350" s="680"/>
    </row>
    <row r="3351" spans="1:2">
      <c r="A3351" s="126"/>
      <c r="B3351" s="680"/>
    </row>
    <row r="3352" spans="1:2">
      <c r="A3352" s="126"/>
      <c r="B3352" s="680"/>
    </row>
    <row r="3353" spans="1:2">
      <c r="A3353" s="126"/>
      <c r="B3353" s="680"/>
    </row>
    <row r="3354" spans="1:2">
      <c r="A3354" s="126"/>
      <c r="B3354" s="680"/>
    </row>
    <row r="3355" spans="1:2">
      <c r="A3355" s="126"/>
      <c r="B3355" s="680"/>
    </row>
    <row r="3356" spans="1:2">
      <c r="A3356" s="126"/>
      <c r="B3356" s="680"/>
    </row>
    <row r="3357" spans="1:2">
      <c r="A3357" s="126"/>
      <c r="B3357" s="680"/>
    </row>
    <row r="3358" spans="1:2">
      <c r="A3358" s="126"/>
      <c r="B3358" s="680"/>
    </row>
    <row r="3359" spans="1:2">
      <c r="A3359" s="126"/>
      <c r="B3359" s="680"/>
    </row>
    <row r="3360" spans="1:2">
      <c r="A3360" s="126"/>
      <c r="B3360" s="680"/>
    </row>
    <row r="3361" spans="1:2">
      <c r="A3361" s="126"/>
      <c r="B3361" s="680"/>
    </row>
    <row r="3362" spans="1:2">
      <c r="A3362" s="126"/>
      <c r="B3362" s="680"/>
    </row>
    <row r="3363" spans="1:2">
      <c r="A3363" s="126"/>
      <c r="B3363" s="680"/>
    </row>
    <row r="3364" spans="1:2">
      <c r="A3364" s="126"/>
      <c r="B3364" s="680"/>
    </row>
    <row r="3365" spans="1:2">
      <c r="A3365" s="126"/>
      <c r="B3365" s="680"/>
    </row>
    <row r="3366" spans="1:2">
      <c r="A3366" s="126"/>
      <c r="B3366" s="680"/>
    </row>
    <row r="3367" spans="1:2">
      <c r="A3367" s="126"/>
      <c r="B3367" s="680"/>
    </row>
    <row r="3368" spans="1:2">
      <c r="A3368" s="126"/>
      <c r="B3368" s="680"/>
    </row>
    <row r="3369" spans="1:2">
      <c r="A3369" s="126"/>
      <c r="B3369" s="680"/>
    </row>
    <row r="3370" spans="1:2">
      <c r="A3370" s="126"/>
      <c r="B3370" s="680"/>
    </row>
    <row r="3371" spans="1:2">
      <c r="A3371" s="126"/>
      <c r="B3371" s="680"/>
    </row>
    <row r="3372" spans="1:2">
      <c r="A3372" s="126"/>
      <c r="B3372" s="680"/>
    </row>
    <row r="3373" spans="1:2">
      <c r="A3373" s="126"/>
      <c r="B3373" s="680"/>
    </row>
    <row r="3374" spans="1:2">
      <c r="A3374" s="126"/>
      <c r="B3374" s="680"/>
    </row>
    <row r="3375" spans="1:2">
      <c r="A3375" s="126"/>
      <c r="B3375" s="680"/>
    </row>
    <row r="3376" spans="1:2">
      <c r="A3376" s="126"/>
      <c r="B3376" s="680"/>
    </row>
    <row r="3377" spans="1:2">
      <c r="A3377" s="126"/>
      <c r="B3377" s="680"/>
    </row>
    <row r="3378" spans="1:2">
      <c r="A3378" s="126"/>
      <c r="B3378" s="680"/>
    </row>
    <row r="3379" spans="1:2">
      <c r="A3379" s="126"/>
      <c r="B3379" s="680"/>
    </row>
    <row r="3380" spans="1:2">
      <c r="A3380" s="126"/>
      <c r="B3380" s="680"/>
    </row>
    <row r="3381" spans="1:2">
      <c r="A3381" s="126"/>
      <c r="B3381" s="680"/>
    </row>
    <row r="3382" spans="1:2">
      <c r="A3382" s="126"/>
      <c r="B3382" s="680"/>
    </row>
    <row r="3383" spans="1:2">
      <c r="A3383" s="126"/>
      <c r="B3383" s="680"/>
    </row>
    <row r="3384" spans="1:2">
      <c r="A3384" s="126"/>
      <c r="B3384" s="680"/>
    </row>
    <row r="3385" spans="1:2">
      <c r="A3385" s="126"/>
      <c r="B3385" s="680"/>
    </row>
    <row r="3386" spans="1:2">
      <c r="A3386" s="126"/>
      <c r="B3386" s="680"/>
    </row>
    <row r="3387" spans="1:2">
      <c r="A3387" s="126"/>
      <c r="B3387" s="680"/>
    </row>
    <row r="3388" spans="1:2">
      <c r="A3388" s="126"/>
      <c r="B3388" s="680"/>
    </row>
    <row r="3389" spans="1:2">
      <c r="A3389" s="126"/>
      <c r="B3389" s="680"/>
    </row>
    <row r="3390" spans="1:2">
      <c r="A3390" s="126"/>
      <c r="B3390" s="680"/>
    </row>
    <row r="3391" spans="1:2">
      <c r="A3391" s="126"/>
      <c r="B3391" s="680"/>
    </row>
    <row r="3392" spans="1:2">
      <c r="A3392" s="126"/>
      <c r="B3392" s="680"/>
    </row>
    <row r="3393" spans="1:2">
      <c r="A3393" s="126"/>
      <c r="B3393" s="680"/>
    </row>
    <row r="3394" spans="1:2">
      <c r="A3394" s="126"/>
      <c r="B3394" s="680"/>
    </row>
    <row r="3395" spans="1:2">
      <c r="A3395" s="126"/>
      <c r="B3395" s="680"/>
    </row>
    <row r="3396" spans="1:2">
      <c r="A3396" s="126"/>
      <c r="B3396" s="680"/>
    </row>
    <row r="3397" spans="1:2">
      <c r="A3397" s="126"/>
      <c r="B3397" s="680"/>
    </row>
    <row r="3398" spans="1:2">
      <c r="A3398" s="126"/>
      <c r="B3398" s="680"/>
    </row>
    <row r="3399" spans="1:2">
      <c r="A3399" s="126"/>
      <c r="B3399" s="680"/>
    </row>
    <row r="3400" spans="1:2">
      <c r="A3400" s="126"/>
      <c r="B3400" s="680"/>
    </row>
    <row r="3401" spans="1:2">
      <c r="A3401" s="126"/>
      <c r="B3401" s="680"/>
    </row>
    <row r="3402" spans="1:2">
      <c r="A3402" s="126"/>
      <c r="B3402" s="680"/>
    </row>
    <row r="3403" spans="1:2">
      <c r="A3403" s="126"/>
      <c r="B3403" s="680"/>
    </row>
    <row r="3404" spans="1:2">
      <c r="A3404" s="126"/>
      <c r="B3404" s="680"/>
    </row>
    <row r="3405" spans="1:2">
      <c r="A3405" s="126"/>
      <c r="B3405" s="680"/>
    </row>
    <row r="3406" spans="1:2">
      <c r="A3406" s="126"/>
      <c r="B3406" s="680"/>
    </row>
    <row r="3407" spans="1:2">
      <c r="A3407" s="126"/>
      <c r="B3407" s="680"/>
    </row>
    <row r="3408" spans="1:2">
      <c r="A3408" s="126"/>
      <c r="B3408" s="680"/>
    </row>
    <row r="3409" spans="1:2">
      <c r="A3409" s="126"/>
      <c r="B3409" s="680"/>
    </row>
    <row r="3410" spans="1:2">
      <c r="A3410" s="126"/>
      <c r="B3410" s="680"/>
    </row>
    <row r="3411" spans="1:2">
      <c r="A3411" s="126"/>
      <c r="B3411" s="680"/>
    </row>
    <row r="3412" spans="1:2">
      <c r="A3412" s="126"/>
      <c r="B3412" s="680"/>
    </row>
    <row r="3413" spans="1:2">
      <c r="A3413" s="126"/>
      <c r="B3413" s="680"/>
    </row>
    <row r="3414" spans="1:2">
      <c r="A3414" s="126"/>
      <c r="B3414" s="680"/>
    </row>
    <row r="3415" spans="1:2">
      <c r="A3415" s="126"/>
      <c r="B3415" s="680"/>
    </row>
    <row r="3416" spans="1:2">
      <c r="A3416" s="126"/>
      <c r="B3416" s="680"/>
    </row>
    <row r="3417" spans="1:2">
      <c r="A3417" s="126"/>
      <c r="B3417" s="680"/>
    </row>
    <row r="3418" spans="1:2">
      <c r="A3418" s="126"/>
      <c r="B3418" s="680"/>
    </row>
    <row r="3419" spans="1:2">
      <c r="A3419" s="126"/>
      <c r="B3419" s="680"/>
    </row>
    <row r="3420" spans="1:2">
      <c r="A3420" s="126"/>
      <c r="B3420" s="680"/>
    </row>
    <row r="3421" spans="1:2">
      <c r="A3421" s="126"/>
      <c r="B3421" s="680"/>
    </row>
    <row r="3422" spans="1:2">
      <c r="A3422" s="126"/>
      <c r="B3422" s="680"/>
    </row>
    <row r="3423" spans="1:2">
      <c r="A3423" s="126"/>
      <c r="B3423" s="680"/>
    </row>
    <row r="3424" spans="1:2">
      <c r="A3424" s="126"/>
      <c r="B3424" s="680"/>
    </row>
    <row r="3425" spans="1:2">
      <c r="A3425" s="126"/>
      <c r="B3425" s="680"/>
    </row>
    <row r="3426" spans="1:2">
      <c r="A3426" s="126"/>
      <c r="B3426" s="680"/>
    </row>
    <row r="3427" spans="1:2">
      <c r="A3427" s="126"/>
      <c r="B3427" s="680"/>
    </row>
    <row r="3428" spans="1:2">
      <c r="A3428" s="126"/>
      <c r="B3428" s="680"/>
    </row>
    <row r="3429" spans="1:2">
      <c r="A3429" s="126"/>
      <c r="B3429" s="680"/>
    </row>
    <row r="3430" spans="1:2">
      <c r="A3430" s="126"/>
      <c r="B3430" s="680"/>
    </row>
    <row r="3431" spans="1:2">
      <c r="A3431" s="126"/>
      <c r="B3431" s="680"/>
    </row>
    <row r="3432" spans="1:2">
      <c r="A3432" s="126"/>
      <c r="B3432" s="680"/>
    </row>
    <row r="3433" spans="1:2">
      <c r="A3433" s="126"/>
      <c r="B3433" s="680"/>
    </row>
    <row r="3434" spans="1:2">
      <c r="A3434" s="126"/>
      <c r="B3434" s="680"/>
    </row>
    <row r="3435" spans="1:2">
      <c r="A3435" s="126"/>
      <c r="B3435" s="680"/>
    </row>
    <row r="3436" spans="1:2">
      <c r="A3436" s="126"/>
      <c r="B3436" s="680"/>
    </row>
    <row r="3437" spans="1:2">
      <c r="A3437" s="126"/>
      <c r="B3437" s="680"/>
    </row>
    <row r="3438" spans="1:2">
      <c r="A3438" s="126"/>
      <c r="B3438" s="680"/>
    </row>
    <row r="3439" spans="1:2">
      <c r="A3439" s="126"/>
      <c r="B3439" s="680"/>
    </row>
    <row r="3440" spans="1:2">
      <c r="A3440" s="126"/>
      <c r="B3440" s="680"/>
    </row>
    <row r="3441" spans="1:2">
      <c r="A3441" s="126"/>
      <c r="B3441" s="680"/>
    </row>
    <row r="3442" spans="1:2">
      <c r="A3442" s="126"/>
      <c r="B3442" s="680"/>
    </row>
    <row r="3443" spans="1:2">
      <c r="A3443" s="126"/>
      <c r="B3443" s="680"/>
    </row>
    <row r="3444" spans="1:2">
      <c r="A3444" s="126"/>
      <c r="B3444" s="680"/>
    </row>
    <row r="3445" spans="1:2">
      <c r="A3445" s="126"/>
      <c r="B3445" s="680"/>
    </row>
    <row r="3446" spans="1:2">
      <c r="A3446" s="126"/>
      <c r="B3446" s="680"/>
    </row>
    <row r="3447" spans="1:2">
      <c r="A3447" s="126"/>
      <c r="B3447" s="680"/>
    </row>
    <row r="3448" spans="1:2">
      <c r="A3448" s="126"/>
      <c r="B3448" s="680"/>
    </row>
    <row r="3449" spans="1:2">
      <c r="A3449" s="126"/>
      <c r="B3449" s="680"/>
    </row>
    <row r="3450" spans="1:2">
      <c r="A3450" s="126"/>
      <c r="B3450" s="680"/>
    </row>
    <row r="3451" spans="1:2">
      <c r="A3451" s="126"/>
      <c r="B3451" s="680"/>
    </row>
    <row r="3452" spans="1:2">
      <c r="A3452" s="126"/>
      <c r="B3452" s="680"/>
    </row>
    <row r="3453" spans="1:2">
      <c r="A3453" s="126"/>
      <c r="B3453" s="680"/>
    </row>
    <row r="3454" spans="1:2">
      <c r="A3454" s="126"/>
      <c r="B3454" s="680"/>
    </row>
    <row r="3455" spans="1:2">
      <c r="A3455" s="126"/>
      <c r="B3455" s="680"/>
    </row>
    <row r="3456" spans="1:2">
      <c r="A3456" s="126"/>
      <c r="B3456" s="680"/>
    </row>
    <row r="3457" spans="1:2">
      <c r="A3457" s="126"/>
      <c r="B3457" s="680"/>
    </row>
    <row r="3458" spans="1:2">
      <c r="A3458" s="126"/>
      <c r="B3458" s="680"/>
    </row>
    <row r="3459" spans="1:2">
      <c r="A3459" s="126"/>
      <c r="B3459" s="680"/>
    </row>
    <row r="3460" spans="1:2">
      <c r="A3460" s="126"/>
      <c r="B3460" s="680"/>
    </row>
    <row r="3461" spans="1:2">
      <c r="A3461" s="126"/>
      <c r="B3461" s="680"/>
    </row>
    <row r="3462" spans="1:2">
      <c r="A3462" s="126"/>
      <c r="B3462" s="680"/>
    </row>
    <row r="3463" spans="1:2">
      <c r="A3463" s="126"/>
      <c r="B3463" s="680"/>
    </row>
    <row r="3464" spans="1:2">
      <c r="A3464" s="126"/>
      <c r="B3464" s="680"/>
    </row>
    <row r="3465" spans="1:2">
      <c r="A3465" s="126"/>
      <c r="B3465" s="680"/>
    </row>
    <row r="3466" spans="1:2">
      <c r="A3466" s="126"/>
      <c r="B3466" s="680"/>
    </row>
    <row r="3467" spans="1:2">
      <c r="A3467" s="126"/>
      <c r="B3467" s="680"/>
    </row>
    <row r="3468" spans="1:2">
      <c r="A3468" s="126"/>
      <c r="B3468" s="680"/>
    </row>
    <row r="3469" spans="1:2">
      <c r="A3469" s="126"/>
      <c r="B3469" s="680"/>
    </row>
    <row r="3470" spans="1:2">
      <c r="A3470" s="126"/>
      <c r="B3470" s="680"/>
    </row>
    <row r="3471" spans="1:2">
      <c r="A3471" s="126"/>
      <c r="B3471" s="680"/>
    </row>
    <row r="3472" spans="1:2">
      <c r="A3472" s="126"/>
      <c r="B3472" s="680"/>
    </row>
    <row r="3473" spans="1:2">
      <c r="A3473" s="126"/>
      <c r="B3473" s="680"/>
    </row>
    <row r="3474" spans="1:2">
      <c r="A3474" s="126"/>
      <c r="B3474" s="680"/>
    </row>
    <row r="3475" spans="1:2">
      <c r="A3475" s="126"/>
      <c r="B3475" s="680"/>
    </row>
    <row r="3476" spans="1:2">
      <c r="A3476" s="126"/>
      <c r="B3476" s="680"/>
    </row>
    <row r="3477" spans="1:2">
      <c r="A3477" s="126"/>
      <c r="B3477" s="680"/>
    </row>
    <row r="3478" spans="1:2">
      <c r="A3478" s="126"/>
      <c r="B3478" s="680"/>
    </row>
    <row r="3479" spans="1:2">
      <c r="A3479" s="126"/>
      <c r="B3479" s="680"/>
    </row>
    <row r="3480" spans="1:2">
      <c r="A3480" s="126"/>
      <c r="B3480" s="680"/>
    </row>
    <row r="3481" spans="1:2">
      <c r="A3481" s="126"/>
      <c r="B3481" s="680"/>
    </row>
    <row r="3482" spans="1:2">
      <c r="A3482" s="126"/>
      <c r="B3482" s="680"/>
    </row>
    <row r="3483" spans="1:2">
      <c r="A3483" s="126"/>
      <c r="B3483" s="680"/>
    </row>
    <row r="3484" spans="1:2">
      <c r="A3484" s="126"/>
      <c r="B3484" s="680"/>
    </row>
    <row r="3485" spans="1:2">
      <c r="A3485" s="126"/>
      <c r="B3485" s="680"/>
    </row>
    <row r="3486" spans="1:2">
      <c r="A3486" s="126"/>
      <c r="B3486" s="680"/>
    </row>
    <row r="3487" spans="1:2">
      <c r="A3487" s="126"/>
      <c r="B3487" s="680"/>
    </row>
    <row r="3488" spans="1:2">
      <c r="A3488" s="126"/>
      <c r="B3488" s="680"/>
    </row>
    <row r="3489" spans="1:2">
      <c r="A3489" s="126"/>
      <c r="B3489" s="680"/>
    </row>
    <row r="3490" spans="1:2">
      <c r="A3490" s="126"/>
      <c r="B3490" s="680"/>
    </row>
    <row r="3491" spans="1:2">
      <c r="A3491" s="126"/>
      <c r="B3491" s="680"/>
    </row>
    <row r="3492" spans="1:2">
      <c r="A3492" s="126"/>
      <c r="B3492" s="680"/>
    </row>
    <row r="3493" spans="1:2">
      <c r="A3493" s="126"/>
      <c r="B3493" s="680"/>
    </row>
    <row r="3494" spans="1:2">
      <c r="A3494" s="126"/>
      <c r="B3494" s="680"/>
    </row>
    <row r="3495" spans="1:2">
      <c r="A3495" s="126"/>
      <c r="B3495" s="680"/>
    </row>
    <row r="3496" spans="1:2">
      <c r="A3496" s="126"/>
      <c r="B3496" s="680"/>
    </row>
    <row r="3497" spans="1:2">
      <c r="A3497" s="126"/>
      <c r="B3497" s="680"/>
    </row>
    <row r="3498" spans="1:2">
      <c r="A3498" s="126"/>
      <c r="B3498" s="680"/>
    </row>
    <row r="3499" spans="1:2">
      <c r="A3499" s="126"/>
      <c r="B3499" s="680"/>
    </row>
    <row r="3500" spans="1:2">
      <c r="A3500" s="126"/>
      <c r="B3500" s="680"/>
    </row>
    <row r="3501" spans="1:2">
      <c r="A3501" s="126"/>
      <c r="B3501" s="680"/>
    </row>
    <row r="3502" spans="1:2">
      <c r="A3502" s="126"/>
      <c r="B3502" s="680"/>
    </row>
    <row r="3503" spans="1:2">
      <c r="A3503" s="126"/>
      <c r="B3503" s="680"/>
    </row>
    <row r="3504" spans="1:2">
      <c r="A3504" s="126"/>
      <c r="B3504" s="680"/>
    </row>
    <row r="3505" spans="1:2">
      <c r="A3505" s="126"/>
      <c r="B3505" s="680"/>
    </row>
    <row r="3506" spans="1:2">
      <c r="A3506" s="126"/>
      <c r="B3506" s="680"/>
    </row>
    <row r="3507" spans="1:2">
      <c r="A3507" s="126"/>
      <c r="B3507" s="680"/>
    </row>
    <row r="3508" spans="1:2">
      <c r="A3508" s="126"/>
      <c r="B3508" s="680"/>
    </row>
    <row r="3509" spans="1:2">
      <c r="A3509" s="126"/>
      <c r="B3509" s="680"/>
    </row>
    <row r="3510" spans="1:2">
      <c r="A3510" s="126"/>
      <c r="B3510" s="680"/>
    </row>
    <row r="3511" spans="1:2">
      <c r="A3511" s="126"/>
      <c r="B3511" s="680"/>
    </row>
    <row r="3512" spans="1:2">
      <c r="A3512" s="126"/>
      <c r="B3512" s="680"/>
    </row>
    <row r="3513" spans="1:2">
      <c r="A3513" s="126"/>
      <c r="B3513" s="680"/>
    </row>
    <row r="3514" spans="1:2">
      <c r="A3514" s="126"/>
      <c r="B3514" s="680"/>
    </row>
    <row r="3515" spans="1:2">
      <c r="A3515" s="126"/>
      <c r="B3515" s="680"/>
    </row>
    <row r="3516" spans="1:2">
      <c r="A3516" s="126"/>
      <c r="B3516" s="680"/>
    </row>
    <row r="3517" spans="1:2">
      <c r="A3517" s="126"/>
      <c r="B3517" s="680"/>
    </row>
    <row r="3518" spans="1:2">
      <c r="A3518" s="126"/>
      <c r="B3518" s="680"/>
    </row>
    <row r="3519" spans="1:2">
      <c r="A3519" s="126"/>
      <c r="B3519" s="680"/>
    </row>
    <row r="3520" spans="1:2">
      <c r="A3520" s="126"/>
      <c r="B3520" s="680"/>
    </row>
    <row r="3521" spans="1:2">
      <c r="A3521" s="126"/>
      <c r="B3521" s="680"/>
    </row>
    <row r="3522" spans="1:2">
      <c r="A3522" s="126"/>
      <c r="B3522" s="680"/>
    </row>
    <row r="3523" spans="1:2">
      <c r="A3523" s="126"/>
      <c r="B3523" s="680"/>
    </row>
    <row r="3524" spans="1:2">
      <c r="A3524" s="126"/>
      <c r="B3524" s="680"/>
    </row>
    <row r="3525" spans="1:2">
      <c r="A3525" s="126"/>
      <c r="B3525" s="680"/>
    </row>
    <row r="3526" spans="1:2">
      <c r="A3526" s="126"/>
      <c r="B3526" s="680"/>
    </row>
    <row r="3527" spans="1:2">
      <c r="A3527" s="126"/>
      <c r="B3527" s="680"/>
    </row>
    <row r="3528" spans="1:2">
      <c r="A3528" s="126"/>
      <c r="B3528" s="680"/>
    </row>
    <row r="3529" spans="1:2">
      <c r="A3529" s="126"/>
      <c r="B3529" s="680"/>
    </row>
    <row r="3530" spans="1:2">
      <c r="A3530" s="126"/>
      <c r="B3530" s="680"/>
    </row>
    <row r="3531" spans="1:2">
      <c r="A3531" s="126"/>
      <c r="B3531" s="680"/>
    </row>
    <row r="3532" spans="1:2">
      <c r="A3532" s="126"/>
      <c r="B3532" s="680"/>
    </row>
    <row r="3533" spans="1:2">
      <c r="A3533" s="126"/>
      <c r="B3533" s="680"/>
    </row>
    <row r="3534" spans="1:2">
      <c r="A3534" s="126"/>
      <c r="B3534" s="680"/>
    </row>
    <row r="3535" spans="1:2">
      <c r="A3535" s="126"/>
      <c r="B3535" s="680"/>
    </row>
    <row r="3536" spans="1:2">
      <c r="A3536" s="126"/>
      <c r="B3536" s="680"/>
    </row>
    <row r="3537" spans="1:2">
      <c r="A3537" s="126"/>
      <c r="B3537" s="680"/>
    </row>
    <row r="3538" spans="1:2">
      <c r="A3538" s="126"/>
      <c r="B3538" s="680"/>
    </row>
    <row r="3539" spans="1:2">
      <c r="A3539" s="126"/>
      <c r="B3539" s="680"/>
    </row>
    <row r="3540" spans="1:2">
      <c r="A3540" s="126"/>
      <c r="B3540" s="680"/>
    </row>
    <row r="3541" spans="1:2">
      <c r="A3541" s="126"/>
      <c r="B3541" s="680"/>
    </row>
    <row r="3542" spans="1:2">
      <c r="A3542" s="126"/>
      <c r="B3542" s="680"/>
    </row>
    <row r="3543" spans="1:2">
      <c r="A3543" s="126"/>
      <c r="B3543" s="680"/>
    </row>
    <row r="3544" spans="1:2">
      <c r="A3544" s="126"/>
      <c r="B3544" s="680"/>
    </row>
    <row r="3545" spans="1:2">
      <c r="A3545" s="126"/>
      <c r="B3545" s="680"/>
    </row>
    <row r="3546" spans="1:2">
      <c r="A3546" s="126"/>
      <c r="B3546" s="680"/>
    </row>
    <row r="3547" spans="1:2">
      <c r="A3547" s="126"/>
      <c r="B3547" s="680"/>
    </row>
    <row r="3548" spans="1:2">
      <c r="A3548" s="126"/>
      <c r="B3548" s="680"/>
    </row>
    <row r="3549" spans="1:2">
      <c r="A3549" s="126"/>
      <c r="B3549" s="680"/>
    </row>
    <row r="3550" spans="1:2">
      <c r="A3550" s="126"/>
      <c r="B3550" s="680"/>
    </row>
    <row r="3551" spans="1:2">
      <c r="A3551" s="126"/>
      <c r="B3551" s="680"/>
    </row>
    <row r="3552" spans="1:2">
      <c r="A3552" s="126"/>
      <c r="B3552" s="680"/>
    </row>
    <row r="3553" spans="1:2">
      <c r="A3553" s="126"/>
      <c r="B3553" s="680"/>
    </row>
    <row r="3554" spans="1:2">
      <c r="A3554" s="126"/>
      <c r="B3554" s="680"/>
    </row>
    <row r="3555" spans="1:2">
      <c r="A3555" s="126"/>
      <c r="B3555" s="680"/>
    </row>
    <row r="3556" spans="1:2">
      <c r="A3556" s="126"/>
      <c r="B3556" s="680"/>
    </row>
    <row r="3557" spans="1:2">
      <c r="A3557" s="126"/>
      <c r="B3557" s="680"/>
    </row>
    <row r="3558" spans="1:2">
      <c r="A3558" s="126"/>
      <c r="B3558" s="680"/>
    </row>
    <row r="3559" spans="1:2">
      <c r="A3559" s="126"/>
      <c r="B3559" s="680"/>
    </row>
    <row r="3560" spans="1:2">
      <c r="A3560" s="126"/>
      <c r="B3560" s="680"/>
    </row>
    <row r="3561" spans="1:2">
      <c r="A3561" s="126"/>
      <c r="B3561" s="680"/>
    </row>
    <row r="3562" spans="1:2">
      <c r="A3562" s="126"/>
      <c r="B3562" s="680"/>
    </row>
    <row r="3563" spans="1:2">
      <c r="A3563" s="126"/>
      <c r="B3563" s="680"/>
    </row>
    <row r="3564" spans="1:2">
      <c r="A3564" s="126"/>
      <c r="B3564" s="680"/>
    </row>
    <row r="3565" spans="1:2">
      <c r="A3565" s="126"/>
      <c r="B3565" s="680"/>
    </row>
    <row r="3566" spans="1:2">
      <c r="A3566" s="126"/>
      <c r="B3566" s="680"/>
    </row>
    <row r="3567" spans="1:2">
      <c r="A3567" s="126"/>
      <c r="B3567" s="680"/>
    </row>
    <row r="3568" spans="1:2">
      <c r="A3568" s="126"/>
      <c r="B3568" s="680"/>
    </row>
    <row r="3569" spans="1:2">
      <c r="A3569" s="126"/>
      <c r="B3569" s="680"/>
    </row>
    <row r="3570" spans="1:2">
      <c r="A3570" s="126"/>
      <c r="B3570" s="680"/>
    </row>
    <row r="3571" spans="1:2">
      <c r="A3571" s="126"/>
      <c r="B3571" s="680"/>
    </row>
    <row r="3572" spans="1:2">
      <c r="A3572" s="126"/>
      <c r="B3572" s="680"/>
    </row>
    <row r="3573" spans="1:2">
      <c r="A3573" s="126"/>
      <c r="B3573" s="680"/>
    </row>
    <row r="3574" spans="1:2">
      <c r="A3574" s="126"/>
      <c r="B3574" s="680"/>
    </row>
    <row r="3575" spans="1:2">
      <c r="A3575" s="126"/>
      <c r="B3575" s="680"/>
    </row>
    <row r="3576" spans="1:2">
      <c r="A3576" s="126"/>
      <c r="B3576" s="680"/>
    </row>
    <row r="3577" spans="1:2">
      <c r="A3577" s="126"/>
      <c r="B3577" s="680"/>
    </row>
    <row r="3578" spans="1:2">
      <c r="A3578" s="126"/>
      <c r="B3578" s="680"/>
    </row>
    <row r="3579" spans="1:2">
      <c r="A3579" s="126"/>
      <c r="B3579" s="680"/>
    </row>
    <row r="3580" spans="1:2">
      <c r="A3580" s="126"/>
      <c r="B3580" s="680"/>
    </row>
    <row r="3581" spans="1:2">
      <c r="A3581" s="126"/>
      <c r="B3581" s="680"/>
    </row>
    <row r="3582" spans="1:2">
      <c r="A3582" s="126"/>
      <c r="B3582" s="680"/>
    </row>
    <row r="3583" spans="1:2">
      <c r="A3583" s="126"/>
      <c r="B3583" s="680"/>
    </row>
    <row r="3584" spans="1:2">
      <c r="A3584" s="126"/>
      <c r="B3584" s="680"/>
    </row>
    <row r="3585" spans="1:2">
      <c r="A3585" s="126"/>
      <c r="B3585" s="680"/>
    </row>
    <row r="3586" spans="1:2">
      <c r="A3586" s="126"/>
      <c r="B3586" s="680"/>
    </row>
    <row r="3587" spans="1:2">
      <c r="A3587" s="126"/>
      <c r="B3587" s="680"/>
    </row>
    <row r="3588" spans="1:2">
      <c r="A3588" s="126"/>
      <c r="B3588" s="680"/>
    </row>
    <row r="3589" spans="1:2">
      <c r="A3589" s="126"/>
      <c r="B3589" s="680"/>
    </row>
    <row r="3590" spans="1:2">
      <c r="A3590" s="126"/>
      <c r="B3590" s="680"/>
    </row>
    <row r="3591" spans="1:2">
      <c r="A3591" s="126"/>
      <c r="B3591" s="680"/>
    </row>
    <row r="3592" spans="1:2">
      <c r="A3592" s="126"/>
      <c r="B3592" s="680"/>
    </row>
    <row r="3593" spans="1:2">
      <c r="A3593" s="126"/>
      <c r="B3593" s="680"/>
    </row>
    <row r="3594" spans="1:2">
      <c r="A3594" s="126"/>
      <c r="B3594" s="680"/>
    </row>
    <row r="3595" spans="1:2">
      <c r="A3595" s="126"/>
      <c r="B3595" s="680"/>
    </row>
    <row r="3596" spans="1:2">
      <c r="A3596" s="126"/>
      <c r="B3596" s="680"/>
    </row>
    <row r="3597" spans="1:2">
      <c r="A3597" s="126"/>
      <c r="B3597" s="680"/>
    </row>
    <row r="3598" spans="1:2">
      <c r="A3598" s="126"/>
      <c r="B3598" s="680"/>
    </row>
    <row r="3599" spans="1:2">
      <c r="A3599" s="126"/>
      <c r="B3599" s="680"/>
    </row>
    <row r="3600" spans="1:2">
      <c r="A3600" s="126"/>
      <c r="B3600" s="680"/>
    </row>
    <row r="3601" spans="1:2">
      <c r="A3601" s="126"/>
      <c r="B3601" s="680"/>
    </row>
    <row r="3602" spans="1:2">
      <c r="A3602" s="126"/>
      <c r="B3602" s="680"/>
    </row>
    <row r="3603" spans="1:2">
      <c r="A3603" s="126"/>
      <c r="B3603" s="680"/>
    </row>
    <row r="3604" spans="1:2">
      <c r="A3604" s="126"/>
      <c r="B3604" s="680"/>
    </row>
    <row r="3605" spans="1:2">
      <c r="A3605" s="126"/>
      <c r="B3605" s="680"/>
    </row>
    <row r="3606" spans="1:2">
      <c r="A3606" s="126"/>
      <c r="B3606" s="680"/>
    </row>
    <row r="3607" spans="1:2">
      <c r="A3607" s="126"/>
      <c r="B3607" s="680"/>
    </row>
    <row r="3608" spans="1:2">
      <c r="A3608" s="126"/>
      <c r="B3608" s="680"/>
    </row>
    <row r="3609" spans="1:2">
      <c r="A3609" s="126"/>
      <c r="B3609" s="680"/>
    </row>
    <row r="3610" spans="1:2">
      <c r="A3610" s="126"/>
      <c r="B3610" s="680"/>
    </row>
    <row r="3611" spans="1:2">
      <c r="A3611" s="126"/>
      <c r="B3611" s="680"/>
    </row>
    <row r="3612" spans="1:2">
      <c r="A3612" s="126"/>
      <c r="B3612" s="680"/>
    </row>
    <row r="3613" spans="1:2">
      <c r="A3613" s="126"/>
      <c r="B3613" s="680"/>
    </row>
    <row r="3614" spans="1:2">
      <c r="A3614" s="126"/>
      <c r="B3614" s="680"/>
    </row>
    <row r="3615" spans="1:2">
      <c r="A3615" s="126"/>
      <c r="B3615" s="680"/>
    </row>
    <row r="3616" spans="1:2">
      <c r="A3616" s="126"/>
      <c r="B3616" s="680"/>
    </row>
    <row r="3617" spans="1:2">
      <c r="A3617" s="126"/>
      <c r="B3617" s="680"/>
    </row>
    <row r="3618" spans="1:2">
      <c r="A3618" s="126"/>
      <c r="B3618" s="680"/>
    </row>
    <row r="3619" spans="1:2">
      <c r="A3619" s="126"/>
      <c r="B3619" s="680"/>
    </row>
    <row r="3620" spans="1:2">
      <c r="A3620" s="126"/>
      <c r="B3620" s="680"/>
    </row>
    <row r="3621" spans="1:2">
      <c r="A3621" s="126"/>
      <c r="B3621" s="680"/>
    </row>
    <row r="3622" spans="1:2">
      <c r="A3622" s="126"/>
      <c r="B3622" s="680"/>
    </row>
    <row r="3623" spans="1:2">
      <c r="A3623" s="126"/>
      <c r="B3623" s="680"/>
    </row>
    <row r="3624" spans="1:2">
      <c r="A3624" s="126"/>
      <c r="B3624" s="680"/>
    </row>
    <row r="3625" spans="1:2">
      <c r="A3625" s="126"/>
      <c r="B3625" s="680"/>
    </row>
    <row r="3626" spans="1:2">
      <c r="A3626" s="126"/>
      <c r="B3626" s="680"/>
    </row>
    <row r="3627" spans="1:2">
      <c r="A3627" s="126"/>
      <c r="B3627" s="680"/>
    </row>
    <row r="3628" spans="1:2">
      <c r="A3628" s="126"/>
      <c r="B3628" s="680"/>
    </row>
    <row r="3629" spans="1:2">
      <c r="A3629" s="126"/>
      <c r="B3629" s="680"/>
    </row>
    <row r="3630" spans="1:2">
      <c r="A3630" s="126"/>
      <c r="B3630" s="680"/>
    </row>
    <row r="3631" spans="1:2">
      <c r="A3631" s="126"/>
      <c r="B3631" s="680"/>
    </row>
    <row r="3632" spans="1:2">
      <c r="A3632" s="126"/>
      <c r="B3632" s="680"/>
    </row>
    <row r="3633" spans="1:2">
      <c r="A3633" s="126"/>
      <c r="B3633" s="680"/>
    </row>
    <row r="3634" spans="1:2">
      <c r="A3634" s="126"/>
      <c r="B3634" s="680"/>
    </row>
    <row r="3635" spans="1:2">
      <c r="A3635" s="126"/>
      <c r="B3635" s="680"/>
    </row>
    <row r="3636" spans="1:2">
      <c r="A3636" s="126"/>
      <c r="B3636" s="680"/>
    </row>
    <row r="3637" spans="1:2">
      <c r="A3637" s="126"/>
      <c r="B3637" s="680"/>
    </row>
    <row r="3638" spans="1:2">
      <c r="A3638" s="126"/>
      <c r="B3638" s="680"/>
    </row>
    <row r="3639" spans="1:2">
      <c r="A3639" s="126"/>
      <c r="B3639" s="680"/>
    </row>
    <row r="3640" spans="1:2">
      <c r="A3640" s="126"/>
      <c r="B3640" s="680"/>
    </row>
    <row r="3641" spans="1:2">
      <c r="A3641" s="126"/>
      <c r="B3641" s="680"/>
    </row>
    <row r="3642" spans="1:2">
      <c r="A3642" s="126"/>
      <c r="B3642" s="680"/>
    </row>
    <row r="3643" spans="1:2">
      <c r="A3643" s="126"/>
      <c r="B3643" s="680"/>
    </row>
    <row r="3644" spans="1:2">
      <c r="A3644" s="126"/>
      <c r="B3644" s="680"/>
    </row>
    <row r="3645" spans="1:2">
      <c r="A3645" s="126"/>
      <c r="B3645" s="680"/>
    </row>
    <row r="3646" spans="1:2">
      <c r="A3646" s="126"/>
      <c r="B3646" s="680"/>
    </row>
    <row r="3647" spans="1:2">
      <c r="A3647" s="126"/>
      <c r="B3647" s="680"/>
    </row>
    <row r="3648" spans="1:2">
      <c r="A3648" s="126"/>
      <c r="B3648" s="680"/>
    </row>
    <row r="3649" spans="1:2">
      <c r="A3649" s="126"/>
      <c r="B3649" s="680"/>
    </row>
    <row r="3650" spans="1:2">
      <c r="A3650" s="126"/>
      <c r="B3650" s="680"/>
    </row>
    <row r="3651" spans="1:2">
      <c r="A3651" s="126"/>
      <c r="B3651" s="680"/>
    </row>
    <row r="3652" spans="1:2">
      <c r="A3652" s="126"/>
      <c r="B3652" s="680"/>
    </row>
    <row r="3653" spans="1:2">
      <c r="A3653" s="126"/>
      <c r="B3653" s="680"/>
    </row>
    <row r="3654" spans="1:2">
      <c r="A3654" s="126"/>
      <c r="B3654" s="680"/>
    </row>
    <row r="3655" spans="1:2">
      <c r="A3655" s="126"/>
      <c r="B3655" s="680"/>
    </row>
    <row r="3656" spans="1:2">
      <c r="A3656" s="126"/>
      <c r="B3656" s="680"/>
    </row>
    <row r="3657" spans="1:2">
      <c r="A3657" s="126"/>
      <c r="B3657" s="680"/>
    </row>
    <row r="3658" spans="1:2">
      <c r="A3658" s="126"/>
      <c r="B3658" s="680"/>
    </row>
    <row r="3659" spans="1:2">
      <c r="A3659" s="126"/>
      <c r="B3659" s="680"/>
    </row>
    <row r="3660" spans="1:2">
      <c r="A3660" s="126"/>
      <c r="B3660" s="680"/>
    </row>
    <row r="3661" spans="1:2">
      <c r="A3661" s="126"/>
      <c r="B3661" s="680"/>
    </row>
    <row r="3662" spans="1:2">
      <c r="A3662" s="126"/>
      <c r="B3662" s="680"/>
    </row>
    <row r="3663" spans="1:2">
      <c r="A3663" s="126"/>
      <c r="B3663" s="680"/>
    </row>
    <row r="3664" spans="1:2">
      <c r="A3664" s="126"/>
      <c r="B3664" s="680"/>
    </row>
    <row r="3665" spans="1:2">
      <c r="A3665" s="126"/>
      <c r="B3665" s="680"/>
    </row>
    <row r="3666" spans="1:2">
      <c r="A3666" s="126"/>
      <c r="B3666" s="680"/>
    </row>
    <row r="3667" spans="1:2">
      <c r="A3667" s="126"/>
      <c r="B3667" s="680"/>
    </row>
    <row r="3668" spans="1:2">
      <c r="A3668" s="126"/>
      <c r="B3668" s="680"/>
    </row>
    <row r="3669" spans="1:2">
      <c r="A3669" s="126"/>
      <c r="B3669" s="680"/>
    </row>
    <row r="3670" spans="1:2">
      <c r="A3670" s="126"/>
      <c r="B3670" s="680"/>
    </row>
    <row r="3671" spans="1:2">
      <c r="A3671" s="126"/>
      <c r="B3671" s="680"/>
    </row>
    <row r="3672" spans="1:2">
      <c r="A3672" s="126"/>
      <c r="B3672" s="680"/>
    </row>
    <row r="3673" spans="1:2">
      <c r="A3673" s="126"/>
      <c r="B3673" s="680"/>
    </row>
    <row r="3674" spans="1:2">
      <c r="A3674" s="126"/>
      <c r="B3674" s="680"/>
    </row>
    <row r="3675" spans="1:2">
      <c r="A3675" s="126"/>
      <c r="B3675" s="680"/>
    </row>
    <row r="3676" spans="1:2">
      <c r="A3676" s="126"/>
      <c r="B3676" s="680"/>
    </row>
    <row r="3677" spans="1:2">
      <c r="A3677" s="126"/>
      <c r="B3677" s="680"/>
    </row>
    <row r="3678" spans="1:2">
      <c r="A3678" s="126"/>
      <c r="B3678" s="680"/>
    </row>
    <row r="3679" spans="1:2">
      <c r="A3679" s="126"/>
      <c r="B3679" s="680"/>
    </row>
    <row r="3680" spans="1:2">
      <c r="A3680" s="126"/>
      <c r="B3680" s="680"/>
    </row>
    <row r="3681" spans="1:2">
      <c r="A3681" s="126"/>
      <c r="B3681" s="680"/>
    </row>
    <row r="3682" spans="1:2">
      <c r="A3682" s="126"/>
      <c r="B3682" s="680"/>
    </row>
    <row r="3683" spans="1:2">
      <c r="A3683" s="126"/>
      <c r="B3683" s="680"/>
    </row>
    <row r="3684" spans="1:2">
      <c r="A3684" s="126"/>
      <c r="B3684" s="680"/>
    </row>
    <row r="3685" spans="1:2">
      <c r="A3685" s="126"/>
      <c r="B3685" s="680"/>
    </row>
    <row r="3686" spans="1:2">
      <c r="A3686" s="126"/>
      <c r="B3686" s="680"/>
    </row>
    <row r="3687" spans="1:2">
      <c r="A3687" s="126"/>
      <c r="B3687" s="680"/>
    </row>
    <row r="3688" spans="1:2">
      <c r="A3688" s="126"/>
      <c r="B3688" s="680"/>
    </row>
    <row r="3689" spans="1:2">
      <c r="A3689" s="126"/>
      <c r="B3689" s="680"/>
    </row>
    <row r="3690" spans="1:2">
      <c r="A3690" s="126"/>
      <c r="B3690" s="680"/>
    </row>
    <row r="3691" spans="1:2">
      <c r="A3691" s="126"/>
      <c r="B3691" s="680"/>
    </row>
    <row r="3692" spans="1:2">
      <c r="A3692" s="126"/>
      <c r="B3692" s="680"/>
    </row>
    <row r="3693" spans="1:2">
      <c r="A3693" s="126"/>
      <c r="B3693" s="680"/>
    </row>
    <row r="3694" spans="1:2">
      <c r="A3694" s="126"/>
      <c r="B3694" s="680"/>
    </row>
    <row r="3695" spans="1:2">
      <c r="A3695" s="126"/>
      <c r="B3695" s="680"/>
    </row>
    <row r="3696" spans="1:2">
      <c r="A3696" s="126"/>
      <c r="B3696" s="680"/>
    </row>
    <row r="3697" spans="1:2">
      <c r="A3697" s="126"/>
      <c r="B3697" s="680"/>
    </row>
    <row r="3698" spans="1:2">
      <c r="A3698" s="126"/>
      <c r="B3698" s="680"/>
    </row>
    <row r="3699" spans="1:2">
      <c r="A3699" s="126"/>
      <c r="B3699" s="680"/>
    </row>
    <row r="3700" spans="1:2">
      <c r="A3700" s="126"/>
      <c r="B3700" s="680"/>
    </row>
    <row r="3701" spans="1:2">
      <c r="A3701" s="126"/>
      <c r="B3701" s="680"/>
    </row>
    <row r="3702" spans="1:2">
      <c r="A3702" s="126"/>
      <c r="B3702" s="680"/>
    </row>
    <row r="3703" spans="1:2">
      <c r="A3703" s="126"/>
      <c r="B3703" s="680"/>
    </row>
    <row r="3704" spans="1:2">
      <c r="A3704" s="126"/>
      <c r="B3704" s="680"/>
    </row>
    <row r="3705" spans="1:2">
      <c r="A3705" s="126"/>
      <c r="B3705" s="680"/>
    </row>
    <row r="3706" spans="1:2">
      <c r="A3706" s="126"/>
      <c r="B3706" s="680"/>
    </row>
    <row r="3707" spans="1:2">
      <c r="A3707" s="126"/>
      <c r="B3707" s="680"/>
    </row>
    <row r="3708" spans="1:2">
      <c r="A3708" s="126"/>
      <c r="B3708" s="680"/>
    </row>
    <row r="3709" spans="1:2">
      <c r="A3709" s="126"/>
      <c r="B3709" s="680"/>
    </row>
    <row r="3710" spans="1:2">
      <c r="A3710" s="126"/>
      <c r="B3710" s="680"/>
    </row>
    <row r="3711" spans="1:2">
      <c r="A3711" s="126"/>
      <c r="B3711" s="680"/>
    </row>
    <row r="3712" spans="1:2">
      <c r="A3712" s="126"/>
      <c r="B3712" s="680"/>
    </row>
    <row r="3713" spans="1:2">
      <c r="A3713" s="126"/>
      <c r="B3713" s="680"/>
    </row>
    <row r="3714" spans="1:2">
      <c r="A3714" s="126"/>
      <c r="B3714" s="680"/>
    </row>
    <row r="3715" spans="1:2">
      <c r="A3715" s="126"/>
      <c r="B3715" s="680"/>
    </row>
    <row r="3716" spans="1:2">
      <c r="A3716" s="126"/>
      <c r="B3716" s="680"/>
    </row>
    <row r="3717" spans="1:2">
      <c r="A3717" s="126"/>
      <c r="B3717" s="680"/>
    </row>
    <row r="3718" spans="1:2">
      <c r="A3718" s="126"/>
      <c r="B3718" s="680"/>
    </row>
    <row r="3719" spans="1:2">
      <c r="A3719" s="126"/>
      <c r="B3719" s="680"/>
    </row>
    <row r="3720" spans="1:2">
      <c r="A3720" s="126"/>
      <c r="B3720" s="680"/>
    </row>
    <row r="3721" spans="1:2">
      <c r="A3721" s="126"/>
      <c r="B3721" s="680"/>
    </row>
    <row r="3722" spans="1:2">
      <c r="A3722" s="126"/>
      <c r="B3722" s="680"/>
    </row>
    <row r="3723" spans="1:2">
      <c r="A3723" s="126"/>
      <c r="B3723" s="680"/>
    </row>
    <row r="3724" spans="1:2">
      <c r="A3724" s="126"/>
      <c r="B3724" s="680"/>
    </row>
    <row r="3725" spans="1:2">
      <c r="A3725" s="126"/>
      <c r="B3725" s="680"/>
    </row>
    <row r="3726" spans="1:2">
      <c r="A3726" s="126"/>
      <c r="B3726" s="680"/>
    </row>
    <row r="3727" spans="1:2">
      <c r="A3727" s="126"/>
      <c r="B3727" s="680"/>
    </row>
    <row r="3728" spans="1:2">
      <c r="A3728" s="126"/>
      <c r="B3728" s="680"/>
    </row>
    <row r="3729" spans="1:2">
      <c r="A3729" s="126"/>
      <c r="B3729" s="680"/>
    </row>
    <row r="3730" spans="1:2">
      <c r="A3730" s="126"/>
      <c r="B3730" s="680"/>
    </row>
    <row r="3731" spans="1:2">
      <c r="A3731" s="126"/>
      <c r="B3731" s="680"/>
    </row>
    <row r="3732" spans="1:2">
      <c r="A3732" s="126"/>
      <c r="B3732" s="680"/>
    </row>
    <row r="3733" spans="1:2">
      <c r="A3733" s="126"/>
      <c r="B3733" s="680"/>
    </row>
    <row r="3734" spans="1:2">
      <c r="A3734" s="126"/>
      <c r="B3734" s="680"/>
    </row>
    <row r="3735" spans="1:2">
      <c r="A3735" s="126"/>
      <c r="B3735" s="680"/>
    </row>
    <row r="3736" spans="1:2">
      <c r="A3736" s="126"/>
      <c r="B3736" s="680"/>
    </row>
    <row r="3737" spans="1:2">
      <c r="A3737" s="126"/>
      <c r="B3737" s="680"/>
    </row>
    <row r="3738" spans="1:2">
      <c r="A3738" s="126"/>
      <c r="B3738" s="680"/>
    </row>
    <row r="3739" spans="1:2">
      <c r="A3739" s="126"/>
      <c r="B3739" s="680"/>
    </row>
    <row r="3740" spans="1:2">
      <c r="A3740" s="126"/>
      <c r="B3740" s="680"/>
    </row>
    <row r="3741" spans="1:2">
      <c r="A3741" s="126"/>
      <c r="B3741" s="680"/>
    </row>
    <row r="3742" spans="1:2">
      <c r="A3742" s="126"/>
      <c r="B3742" s="680"/>
    </row>
    <row r="3743" spans="1:2">
      <c r="A3743" s="126"/>
      <c r="B3743" s="680"/>
    </row>
    <row r="3744" spans="1:2">
      <c r="A3744" s="126"/>
      <c r="B3744" s="680"/>
    </row>
    <row r="3745" spans="1:2">
      <c r="A3745" s="126"/>
      <c r="B3745" s="680"/>
    </row>
    <row r="3746" spans="1:2">
      <c r="A3746" s="126"/>
      <c r="B3746" s="680"/>
    </row>
    <row r="3747" spans="1:2">
      <c r="A3747" s="126"/>
      <c r="B3747" s="680"/>
    </row>
    <row r="3748" spans="1:2">
      <c r="A3748" s="126"/>
      <c r="B3748" s="680"/>
    </row>
    <row r="3749" spans="1:2">
      <c r="A3749" s="126"/>
      <c r="B3749" s="680"/>
    </row>
    <row r="3750" spans="1:2">
      <c r="A3750" s="126"/>
      <c r="B3750" s="680"/>
    </row>
    <row r="3751" spans="1:2">
      <c r="A3751" s="126"/>
      <c r="B3751" s="680"/>
    </row>
    <row r="3752" spans="1:2">
      <c r="A3752" s="126"/>
      <c r="B3752" s="680"/>
    </row>
    <row r="3753" spans="1:2">
      <c r="A3753" s="126"/>
      <c r="B3753" s="680"/>
    </row>
    <row r="3754" spans="1:2">
      <c r="A3754" s="126"/>
      <c r="B3754" s="680"/>
    </row>
    <row r="3755" spans="1:2">
      <c r="A3755" s="126"/>
      <c r="B3755" s="680"/>
    </row>
    <row r="3756" spans="1:2">
      <c r="A3756" s="126"/>
      <c r="B3756" s="680"/>
    </row>
    <row r="3757" spans="1:2">
      <c r="A3757" s="126"/>
      <c r="B3757" s="680"/>
    </row>
    <row r="3758" spans="1:2">
      <c r="A3758" s="126"/>
      <c r="B3758" s="680"/>
    </row>
    <row r="3759" spans="1:2">
      <c r="A3759" s="126"/>
      <c r="B3759" s="680"/>
    </row>
    <row r="3760" spans="1:2">
      <c r="A3760" s="126"/>
      <c r="B3760" s="680"/>
    </row>
    <row r="3761" spans="1:2">
      <c r="A3761" s="126"/>
      <c r="B3761" s="680"/>
    </row>
    <row r="3762" spans="1:2">
      <c r="A3762" s="126"/>
      <c r="B3762" s="680"/>
    </row>
    <row r="3763" spans="1:2">
      <c r="A3763" s="126"/>
      <c r="B3763" s="680"/>
    </row>
    <row r="3764" spans="1:2">
      <c r="A3764" s="126"/>
      <c r="B3764" s="680"/>
    </row>
    <row r="3765" spans="1:2">
      <c r="A3765" s="126"/>
      <c r="B3765" s="680"/>
    </row>
    <row r="3766" spans="1:2">
      <c r="A3766" s="126"/>
      <c r="B3766" s="680"/>
    </row>
    <row r="3767" spans="1:2">
      <c r="A3767" s="126"/>
      <c r="B3767" s="680"/>
    </row>
    <row r="3768" spans="1:2">
      <c r="A3768" s="126"/>
      <c r="B3768" s="680"/>
    </row>
    <row r="3769" spans="1:2">
      <c r="A3769" s="126"/>
      <c r="B3769" s="680"/>
    </row>
    <row r="3770" spans="1:2">
      <c r="A3770" s="126"/>
      <c r="B3770" s="680"/>
    </row>
    <row r="3771" spans="1:2">
      <c r="A3771" s="126"/>
      <c r="B3771" s="680"/>
    </row>
    <row r="3772" spans="1:2">
      <c r="A3772" s="126"/>
      <c r="B3772" s="680"/>
    </row>
    <row r="3773" spans="1:2">
      <c r="A3773" s="126"/>
      <c r="B3773" s="680"/>
    </row>
    <row r="3774" spans="1:2">
      <c r="A3774" s="126"/>
      <c r="B3774" s="680"/>
    </row>
    <row r="3775" spans="1:2">
      <c r="A3775" s="126"/>
      <c r="B3775" s="680"/>
    </row>
    <row r="3776" spans="1:2">
      <c r="A3776" s="126"/>
      <c r="B3776" s="680"/>
    </row>
    <row r="3777" spans="1:2">
      <c r="A3777" s="126"/>
      <c r="B3777" s="680"/>
    </row>
    <row r="3778" spans="1:2">
      <c r="A3778" s="126"/>
      <c r="B3778" s="680"/>
    </row>
    <row r="3779" spans="1:2">
      <c r="A3779" s="126"/>
      <c r="B3779" s="680"/>
    </row>
    <row r="3780" spans="1:2">
      <c r="A3780" s="126"/>
      <c r="B3780" s="680"/>
    </row>
    <row r="3781" spans="1:2">
      <c r="A3781" s="126"/>
      <c r="B3781" s="680"/>
    </row>
    <row r="3782" spans="1:2">
      <c r="A3782" s="126"/>
      <c r="B3782" s="680"/>
    </row>
    <row r="3783" spans="1:2">
      <c r="A3783" s="126"/>
      <c r="B3783" s="680"/>
    </row>
    <row r="3784" spans="1:2">
      <c r="A3784" s="126"/>
      <c r="B3784" s="680"/>
    </row>
    <row r="3785" spans="1:2">
      <c r="A3785" s="126"/>
      <c r="B3785" s="680"/>
    </row>
    <row r="3786" spans="1:2">
      <c r="A3786" s="126"/>
      <c r="B3786" s="680"/>
    </row>
    <row r="3787" spans="1:2">
      <c r="A3787" s="126"/>
      <c r="B3787" s="680"/>
    </row>
    <row r="3788" spans="1:2">
      <c r="A3788" s="126"/>
      <c r="B3788" s="680"/>
    </row>
    <row r="3789" spans="1:2">
      <c r="A3789" s="126"/>
      <c r="B3789" s="680"/>
    </row>
    <row r="3790" spans="1:2">
      <c r="A3790" s="126"/>
      <c r="B3790" s="680"/>
    </row>
    <row r="3791" spans="1:2">
      <c r="A3791" s="126"/>
      <c r="B3791" s="680"/>
    </row>
    <row r="3792" spans="1:2">
      <c r="A3792" s="126"/>
      <c r="B3792" s="680"/>
    </row>
    <row r="3793" spans="1:2">
      <c r="A3793" s="126"/>
      <c r="B3793" s="680"/>
    </row>
    <row r="3794" spans="1:2">
      <c r="A3794" s="126"/>
      <c r="B3794" s="680"/>
    </row>
    <row r="3795" spans="1:2">
      <c r="A3795" s="126"/>
      <c r="B3795" s="680"/>
    </row>
    <row r="3796" spans="1:2">
      <c r="A3796" s="126"/>
      <c r="B3796" s="680"/>
    </row>
    <row r="3797" spans="1:2">
      <c r="A3797" s="126"/>
      <c r="B3797" s="680"/>
    </row>
    <row r="3798" spans="1:2">
      <c r="A3798" s="126"/>
      <c r="B3798" s="680"/>
    </row>
    <row r="3799" spans="1:2">
      <c r="A3799" s="126"/>
      <c r="B3799" s="680"/>
    </row>
    <row r="3800" spans="1:2">
      <c r="A3800" s="126"/>
      <c r="B3800" s="680"/>
    </row>
    <row r="3801" spans="1:2">
      <c r="A3801" s="126"/>
      <c r="B3801" s="680"/>
    </row>
    <row r="3802" spans="1:2">
      <c r="A3802" s="126"/>
      <c r="B3802" s="680"/>
    </row>
    <row r="3803" spans="1:2">
      <c r="A3803" s="126"/>
      <c r="B3803" s="680"/>
    </row>
    <row r="3804" spans="1:2">
      <c r="A3804" s="126"/>
      <c r="B3804" s="680"/>
    </row>
    <row r="3805" spans="1:2">
      <c r="A3805" s="126"/>
      <c r="B3805" s="680"/>
    </row>
    <row r="3806" spans="1:2">
      <c r="A3806" s="126"/>
      <c r="B3806" s="680"/>
    </row>
    <row r="3807" spans="1:2">
      <c r="A3807" s="126"/>
      <c r="B3807" s="680"/>
    </row>
    <row r="3808" spans="1:2">
      <c r="A3808" s="126"/>
      <c r="B3808" s="680"/>
    </row>
    <row r="3809" spans="1:2">
      <c r="A3809" s="126"/>
      <c r="B3809" s="680"/>
    </row>
    <row r="3810" spans="1:2">
      <c r="A3810" s="126"/>
      <c r="B3810" s="680"/>
    </row>
    <row r="3811" spans="1:2">
      <c r="A3811" s="126"/>
      <c r="B3811" s="680"/>
    </row>
    <row r="3812" spans="1:2">
      <c r="A3812" s="126"/>
      <c r="B3812" s="680"/>
    </row>
    <row r="3813" spans="1:2">
      <c r="A3813" s="126"/>
      <c r="B3813" s="680"/>
    </row>
    <row r="3814" spans="1:2">
      <c r="A3814" s="126"/>
      <c r="B3814" s="680"/>
    </row>
    <row r="3815" spans="1:2">
      <c r="A3815" s="126"/>
      <c r="B3815" s="680"/>
    </row>
    <row r="3816" spans="1:2">
      <c r="A3816" s="126"/>
      <c r="B3816" s="680"/>
    </row>
    <row r="3817" spans="1:2">
      <c r="A3817" s="126"/>
      <c r="B3817" s="680"/>
    </row>
    <row r="3818" spans="1:2">
      <c r="A3818" s="126"/>
      <c r="B3818" s="680"/>
    </row>
    <row r="3819" spans="1:2">
      <c r="A3819" s="126"/>
      <c r="B3819" s="680"/>
    </row>
    <row r="3820" spans="1:2">
      <c r="A3820" s="126"/>
      <c r="B3820" s="680"/>
    </row>
    <row r="3821" spans="1:2">
      <c r="A3821" s="126"/>
      <c r="B3821" s="680"/>
    </row>
    <row r="3822" spans="1:2">
      <c r="A3822" s="126"/>
      <c r="B3822" s="680"/>
    </row>
    <row r="3823" spans="1:2">
      <c r="A3823" s="126"/>
      <c r="B3823" s="680"/>
    </row>
    <row r="3824" spans="1:2">
      <c r="A3824" s="126"/>
      <c r="B3824" s="680"/>
    </row>
    <row r="3825" spans="1:2">
      <c r="A3825" s="126"/>
      <c r="B3825" s="680"/>
    </row>
    <row r="3826" spans="1:2">
      <c r="A3826" s="126"/>
      <c r="B3826" s="680"/>
    </row>
    <row r="3827" spans="1:2">
      <c r="A3827" s="126"/>
      <c r="B3827" s="680"/>
    </row>
    <row r="3828" spans="1:2">
      <c r="A3828" s="126"/>
      <c r="B3828" s="680"/>
    </row>
    <row r="3829" spans="1:2">
      <c r="A3829" s="126"/>
      <c r="B3829" s="680"/>
    </row>
    <row r="3830" spans="1:2">
      <c r="A3830" s="126"/>
      <c r="B3830" s="680"/>
    </row>
    <row r="3831" spans="1:2">
      <c r="A3831" s="126"/>
      <c r="B3831" s="680"/>
    </row>
    <row r="3832" spans="1:2">
      <c r="A3832" s="126"/>
      <c r="B3832" s="680"/>
    </row>
    <row r="3833" spans="1:2">
      <c r="A3833" s="126"/>
      <c r="B3833" s="680"/>
    </row>
    <row r="3834" spans="1:2">
      <c r="A3834" s="126"/>
      <c r="B3834" s="680"/>
    </row>
    <row r="3835" spans="1:2">
      <c r="A3835" s="126"/>
      <c r="B3835" s="680"/>
    </row>
    <row r="3836" spans="1:2">
      <c r="A3836" s="126"/>
      <c r="B3836" s="680"/>
    </row>
    <row r="3837" spans="1:2">
      <c r="A3837" s="126"/>
      <c r="B3837" s="680"/>
    </row>
    <row r="3838" spans="1:2">
      <c r="A3838" s="126"/>
      <c r="B3838" s="680"/>
    </row>
    <row r="3839" spans="1:2">
      <c r="A3839" s="126"/>
      <c r="B3839" s="680"/>
    </row>
    <row r="3840" spans="1:2">
      <c r="A3840" s="126"/>
      <c r="B3840" s="680"/>
    </row>
    <row r="3841" spans="1:2">
      <c r="A3841" s="126"/>
      <c r="B3841" s="680"/>
    </row>
    <row r="3842" spans="1:2">
      <c r="A3842" s="126"/>
      <c r="B3842" s="680"/>
    </row>
    <row r="3843" spans="1:2">
      <c r="A3843" s="126"/>
      <c r="B3843" s="680"/>
    </row>
    <row r="3844" spans="1:2">
      <c r="A3844" s="126"/>
      <c r="B3844" s="680"/>
    </row>
    <row r="3845" spans="1:2">
      <c r="A3845" s="126"/>
      <c r="B3845" s="680"/>
    </row>
    <row r="3846" spans="1:2">
      <c r="A3846" s="126"/>
      <c r="B3846" s="680"/>
    </row>
    <row r="3847" spans="1:2">
      <c r="A3847" s="126"/>
      <c r="B3847" s="680"/>
    </row>
    <row r="3848" spans="1:2">
      <c r="A3848" s="126"/>
      <c r="B3848" s="680"/>
    </row>
    <row r="3849" spans="1:2">
      <c r="A3849" s="126"/>
      <c r="B3849" s="680"/>
    </row>
    <row r="3850" spans="1:2">
      <c r="A3850" s="126"/>
      <c r="B3850" s="680"/>
    </row>
    <row r="3851" spans="1:2">
      <c r="A3851" s="126"/>
      <c r="B3851" s="680"/>
    </row>
    <row r="3852" spans="1:2">
      <c r="A3852" s="126"/>
      <c r="B3852" s="680"/>
    </row>
    <row r="3853" spans="1:2">
      <c r="A3853" s="126"/>
      <c r="B3853" s="680"/>
    </row>
    <row r="3854" spans="1:2">
      <c r="A3854" s="126"/>
      <c r="B3854" s="680"/>
    </row>
    <row r="3855" spans="1:2">
      <c r="A3855" s="126"/>
      <c r="B3855" s="680"/>
    </row>
    <row r="3856" spans="1:2">
      <c r="A3856" s="126"/>
      <c r="B3856" s="680"/>
    </row>
    <row r="3857" spans="1:2">
      <c r="A3857" s="126"/>
      <c r="B3857" s="680"/>
    </row>
    <row r="3858" spans="1:2">
      <c r="A3858" s="126"/>
      <c r="B3858" s="680"/>
    </row>
    <row r="3859" spans="1:2">
      <c r="A3859" s="126"/>
      <c r="B3859" s="680"/>
    </row>
    <row r="3860" spans="1:2">
      <c r="A3860" s="126"/>
      <c r="B3860" s="680"/>
    </row>
    <row r="3861" spans="1:2">
      <c r="A3861" s="126"/>
      <c r="B3861" s="680"/>
    </row>
    <row r="3862" spans="1:2">
      <c r="A3862" s="126"/>
      <c r="B3862" s="680"/>
    </row>
    <row r="3863" spans="1:2">
      <c r="A3863" s="126"/>
      <c r="B3863" s="680"/>
    </row>
    <row r="3864" spans="1:2">
      <c r="A3864" s="126"/>
      <c r="B3864" s="680"/>
    </row>
    <row r="3865" spans="1:2">
      <c r="A3865" s="126"/>
      <c r="B3865" s="680"/>
    </row>
    <row r="3866" spans="1:2">
      <c r="A3866" s="126"/>
      <c r="B3866" s="680"/>
    </row>
    <row r="3867" spans="1:2">
      <c r="A3867" s="126"/>
      <c r="B3867" s="680"/>
    </row>
    <row r="3868" spans="1:2">
      <c r="A3868" s="126"/>
      <c r="B3868" s="680"/>
    </row>
    <row r="3869" spans="1:2">
      <c r="A3869" s="126"/>
      <c r="B3869" s="680"/>
    </row>
    <row r="3870" spans="1:2">
      <c r="A3870" s="126"/>
      <c r="B3870" s="680"/>
    </row>
    <row r="3871" spans="1:2">
      <c r="A3871" s="126"/>
      <c r="B3871" s="680"/>
    </row>
    <row r="3872" spans="1:2">
      <c r="A3872" s="126"/>
      <c r="B3872" s="680"/>
    </row>
    <row r="3873" spans="1:2">
      <c r="A3873" s="126"/>
      <c r="B3873" s="680"/>
    </row>
    <row r="3874" spans="1:2">
      <c r="A3874" s="126"/>
      <c r="B3874" s="680"/>
    </row>
    <row r="3875" spans="1:2">
      <c r="A3875" s="126"/>
      <c r="B3875" s="680"/>
    </row>
    <row r="3876" spans="1:2">
      <c r="A3876" s="126"/>
      <c r="B3876" s="680"/>
    </row>
    <row r="3877" spans="1:2">
      <c r="A3877" s="126"/>
      <c r="B3877" s="680"/>
    </row>
    <row r="3878" spans="1:2">
      <c r="A3878" s="126"/>
      <c r="B3878" s="680"/>
    </row>
    <row r="3879" spans="1:2">
      <c r="A3879" s="126"/>
      <c r="B3879" s="680"/>
    </row>
    <row r="3880" spans="1:2">
      <c r="A3880" s="126"/>
      <c r="B3880" s="680"/>
    </row>
    <row r="3881" spans="1:2">
      <c r="A3881" s="126"/>
      <c r="B3881" s="680"/>
    </row>
    <row r="3882" spans="1:2">
      <c r="A3882" s="126"/>
      <c r="B3882" s="680"/>
    </row>
    <row r="3883" spans="1:2">
      <c r="A3883" s="126"/>
      <c r="B3883" s="680"/>
    </row>
    <row r="3884" spans="1:2">
      <c r="A3884" s="126"/>
      <c r="B3884" s="680"/>
    </row>
    <row r="3885" spans="1:2">
      <c r="A3885" s="126"/>
      <c r="B3885" s="680"/>
    </row>
    <row r="3886" spans="1:2">
      <c r="A3886" s="126"/>
      <c r="B3886" s="680"/>
    </row>
    <row r="3887" spans="1:2">
      <c r="A3887" s="126"/>
      <c r="B3887" s="680"/>
    </row>
    <row r="3888" spans="1:2">
      <c r="A3888" s="126"/>
      <c r="B3888" s="680"/>
    </row>
    <row r="3889" spans="1:2">
      <c r="A3889" s="126"/>
      <c r="B3889" s="680"/>
    </row>
    <row r="3890" spans="1:2">
      <c r="A3890" s="126"/>
      <c r="B3890" s="680"/>
    </row>
    <row r="3891" spans="1:2">
      <c r="A3891" s="126"/>
      <c r="B3891" s="680"/>
    </row>
    <row r="3892" spans="1:2">
      <c r="A3892" s="126"/>
      <c r="B3892" s="680"/>
    </row>
    <row r="3893" spans="1:2">
      <c r="A3893" s="126"/>
      <c r="B3893" s="680"/>
    </row>
    <row r="3894" spans="1:2">
      <c r="A3894" s="126"/>
      <c r="B3894" s="680"/>
    </row>
    <row r="3895" spans="1:2">
      <c r="A3895" s="126"/>
      <c r="B3895" s="680"/>
    </row>
    <row r="3896" spans="1:2">
      <c r="A3896" s="126"/>
      <c r="B3896" s="680"/>
    </row>
    <row r="3897" spans="1:2">
      <c r="A3897" s="126"/>
      <c r="B3897" s="680"/>
    </row>
    <row r="3898" spans="1:2">
      <c r="A3898" s="126"/>
      <c r="B3898" s="680"/>
    </row>
    <row r="3899" spans="1:2">
      <c r="A3899" s="126"/>
      <c r="B3899" s="680"/>
    </row>
    <row r="3900" spans="1:2">
      <c r="A3900" s="126"/>
      <c r="B3900" s="680"/>
    </row>
    <row r="3901" spans="1:2">
      <c r="A3901" s="126"/>
      <c r="B3901" s="680"/>
    </row>
    <row r="3902" spans="1:2">
      <c r="A3902" s="126"/>
      <c r="B3902" s="680"/>
    </row>
    <row r="3903" spans="1:2">
      <c r="A3903" s="126"/>
      <c r="B3903" s="680"/>
    </row>
    <row r="3904" spans="1:2">
      <c r="A3904" s="126"/>
      <c r="B3904" s="680"/>
    </row>
    <row r="3905" spans="1:2">
      <c r="A3905" s="126"/>
      <c r="B3905" s="680"/>
    </row>
    <row r="3906" spans="1:2">
      <c r="A3906" s="126"/>
      <c r="B3906" s="680"/>
    </row>
    <row r="3907" spans="1:2">
      <c r="A3907" s="126"/>
      <c r="B3907" s="680"/>
    </row>
    <row r="3908" spans="1:2">
      <c r="A3908" s="126"/>
      <c r="B3908" s="680"/>
    </row>
    <row r="3909" spans="1:2">
      <c r="A3909" s="126"/>
      <c r="B3909" s="680"/>
    </row>
    <row r="3910" spans="1:2">
      <c r="A3910" s="126"/>
      <c r="B3910" s="680"/>
    </row>
    <row r="3911" spans="1:2">
      <c r="A3911" s="126"/>
      <c r="B3911" s="680"/>
    </row>
    <row r="3912" spans="1:2">
      <c r="A3912" s="126"/>
      <c r="B3912" s="680"/>
    </row>
    <row r="3913" spans="1:2">
      <c r="A3913" s="126"/>
      <c r="B3913" s="680"/>
    </row>
    <row r="3914" spans="1:2">
      <c r="A3914" s="126"/>
      <c r="B3914" s="680"/>
    </row>
    <row r="3915" spans="1:2">
      <c r="A3915" s="126"/>
      <c r="B3915" s="680"/>
    </row>
    <row r="3916" spans="1:2">
      <c r="A3916" s="126"/>
      <c r="B3916" s="680"/>
    </row>
    <row r="3917" spans="1:2">
      <c r="A3917" s="126"/>
      <c r="B3917" s="680"/>
    </row>
    <row r="3918" spans="1:2">
      <c r="A3918" s="126"/>
      <c r="B3918" s="680"/>
    </row>
    <row r="3919" spans="1:2">
      <c r="A3919" s="126"/>
      <c r="B3919" s="680"/>
    </row>
    <row r="3920" spans="1:2">
      <c r="A3920" s="126"/>
      <c r="B3920" s="680"/>
    </row>
    <row r="3921" spans="1:2">
      <c r="A3921" s="126"/>
      <c r="B3921" s="680"/>
    </row>
    <row r="3922" spans="1:2">
      <c r="A3922" s="126"/>
      <c r="B3922" s="680"/>
    </row>
    <row r="3923" spans="1:2">
      <c r="A3923" s="126"/>
      <c r="B3923" s="680"/>
    </row>
    <row r="3924" spans="1:2">
      <c r="A3924" s="126"/>
      <c r="B3924" s="680"/>
    </row>
    <row r="3925" spans="1:2">
      <c r="A3925" s="126"/>
      <c r="B3925" s="680"/>
    </row>
    <row r="3926" spans="1:2">
      <c r="A3926" s="126"/>
      <c r="B3926" s="680"/>
    </row>
    <row r="3927" spans="1:2">
      <c r="A3927" s="126"/>
      <c r="B3927" s="680"/>
    </row>
    <row r="3928" spans="1:2">
      <c r="A3928" s="126"/>
      <c r="B3928" s="680"/>
    </row>
    <row r="3929" spans="1:2">
      <c r="A3929" s="126"/>
      <c r="B3929" s="680"/>
    </row>
    <row r="3930" spans="1:2">
      <c r="A3930" s="126"/>
      <c r="B3930" s="680"/>
    </row>
    <row r="3931" spans="1:2">
      <c r="A3931" s="126"/>
      <c r="B3931" s="680"/>
    </row>
    <row r="3932" spans="1:2">
      <c r="A3932" s="126"/>
      <c r="B3932" s="680"/>
    </row>
    <row r="3933" spans="1:2">
      <c r="A3933" s="126"/>
      <c r="B3933" s="680"/>
    </row>
    <row r="3934" spans="1:2">
      <c r="A3934" s="126"/>
      <c r="B3934" s="680"/>
    </row>
    <row r="3935" spans="1:2">
      <c r="A3935" s="126"/>
      <c r="B3935" s="680"/>
    </row>
    <row r="3936" spans="1:2">
      <c r="A3936" s="126"/>
      <c r="B3936" s="680"/>
    </row>
    <row r="3937" spans="1:2">
      <c r="A3937" s="126"/>
      <c r="B3937" s="680"/>
    </row>
    <row r="3938" spans="1:2">
      <c r="A3938" s="126"/>
      <c r="B3938" s="680"/>
    </row>
    <row r="3939" spans="1:2">
      <c r="A3939" s="126"/>
      <c r="B3939" s="680"/>
    </row>
    <row r="3940" spans="1:2">
      <c r="A3940" s="126"/>
      <c r="B3940" s="680"/>
    </row>
    <row r="3941" spans="1:2">
      <c r="A3941" s="126"/>
      <c r="B3941" s="680"/>
    </row>
    <row r="3942" spans="1:2">
      <c r="A3942" s="126"/>
      <c r="B3942" s="680"/>
    </row>
    <row r="3943" spans="1:2">
      <c r="A3943" s="126"/>
      <c r="B3943" s="680"/>
    </row>
    <row r="3944" spans="1:2">
      <c r="A3944" s="126"/>
      <c r="B3944" s="680"/>
    </row>
    <row r="3945" spans="1:2">
      <c r="A3945" s="126"/>
      <c r="B3945" s="680"/>
    </row>
    <row r="3946" spans="1:2">
      <c r="A3946" s="126"/>
      <c r="B3946" s="680"/>
    </row>
    <row r="3947" spans="1:2">
      <c r="A3947" s="126"/>
      <c r="B3947" s="680"/>
    </row>
    <row r="3948" spans="1:2">
      <c r="A3948" s="126"/>
      <c r="B3948" s="680"/>
    </row>
    <row r="3949" spans="1:2">
      <c r="A3949" s="126"/>
      <c r="B3949" s="680"/>
    </row>
    <row r="3950" spans="1:2">
      <c r="A3950" s="126"/>
      <c r="B3950" s="680"/>
    </row>
    <row r="3951" spans="1:2">
      <c r="A3951" s="126"/>
      <c r="B3951" s="680"/>
    </row>
    <row r="3952" spans="1:2">
      <c r="A3952" s="126"/>
      <c r="B3952" s="680"/>
    </row>
    <row r="3953" spans="1:2">
      <c r="A3953" s="126"/>
      <c r="B3953" s="680"/>
    </row>
    <row r="3954" spans="1:2">
      <c r="A3954" s="126"/>
      <c r="B3954" s="680"/>
    </row>
    <row r="3955" spans="1:2">
      <c r="A3955" s="126"/>
      <c r="B3955" s="680"/>
    </row>
    <row r="3956" spans="1:2">
      <c r="A3956" s="126"/>
      <c r="B3956" s="680"/>
    </row>
    <row r="3957" spans="1:2">
      <c r="A3957" s="126"/>
      <c r="B3957" s="680"/>
    </row>
    <row r="3958" spans="1:2">
      <c r="A3958" s="126"/>
      <c r="B3958" s="680"/>
    </row>
    <row r="3959" spans="1:2">
      <c r="A3959" s="126"/>
      <c r="B3959" s="680"/>
    </row>
    <row r="3960" spans="1:2">
      <c r="A3960" s="126"/>
      <c r="B3960" s="680"/>
    </row>
    <row r="3961" spans="1:2">
      <c r="A3961" s="126"/>
      <c r="B3961" s="680"/>
    </row>
    <row r="3962" spans="1:2">
      <c r="A3962" s="126"/>
      <c r="B3962" s="680"/>
    </row>
    <row r="3963" spans="1:2">
      <c r="A3963" s="126"/>
      <c r="B3963" s="680"/>
    </row>
    <row r="3964" spans="1:2">
      <c r="A3964" s="126"/>
      <c r="B3964" s="680"/>
    </row>
    <row r="3965" spans="1:2">
      <c r="A3965" s="126"/>
      <c r="B3965" s="680"/>
    </row>
    <row r="3966" spans="1:2">
      <c r="A3966" s="126"/>
      <c r="B3966" s="680"/>
    </row>
    <row r="3967" spans="1:2">
      <c r="A3967" s="126"/>
      <c r="B3967" s="680"/>
    </row>
    <row r="3968" spans="1:2">
      <c r="A3968" s="126"/>
      <c r="B3968" s="680"/>
    </row>
    <row r="3969" spans="1:2">
      <c r="A3969" s="126"/>
      <c r="B3969" s="680"/>
    </row>
    <row r="3970" spans="1:2">
      <c r="A3970" s="126"/>
      <c r="B3970" s="680"/>
    </row>
    <row r="3971" spans="1:2">
      <c r="A3971" s="126"/>
      <c r="B3971" s="680"/>
    </row>
    <row r="3972" spans="1:2">
      <c r="A3972" s="126"/>
      <c r="B3972" s="680"/>
    </row>
    <row r="3973" spans="1:2">
      <c r="A3973" s="126"/>
      <c r="B3973" s="680"/>
    </row>
    <row r="3974" spans="1:2">
      <c r="A3974" s="126"/>
      <c r="B3974" s="680"/>
    </row>
    <row r="3975" spans="1:2">
      <c r="A3975" s="126"/>
      <c r="B3975" s="680"/>
    </row>
    <row r="3976" spans="1:2">
      <c r="A3976" s="126"/>
      <c r="B3976" s="680"/>
    </row>
    <row r="3977" spans="1:2">
      <c r="A3977" s="126"/>
      <c r="B3977" s="680"/>
    </row>
    <row r="3978" spans="1:2">
      <c r="A3978" s="126"/>
      <c r="B3978" s="680"/>
    </row>
    <row r="3979" spans="1:2">
      <c r="A3979" s="126"/>
      <c r="B3979" s="680"/>
    </row>
    <row r="3980" spans="1:2">
      <c r="A3980" s="126"/>
      <c r="B3980" s="680"/>
    </row>
    <row r="3981" spans="1:2">
      <c r="A3981" s="126"/>
      <c r="B3981" s="680"/>
    </row>
    <row r="3982" spans="1:2">
      <c r="A3982" s="126"/>
      <c r="B3982" s="680"/>
    </row>
    <row r="3983" spans="1:2">
      <c r="A3983" s="126"/>
      <c r="B3983" s="680"/>
    </row>
    <row r="3984" spans="1:2">
      <c r="A3984" s="126"/>
      <c r="B3984" s="680"/>
    </row>
    <row r="3985" spans="1:2">
      <c r="A3985" s="126"/>
      <c r="B3985" s="680"/>
    </row>
    <row r="3986" spans="1:2">
      <c r="A3986" s="126"/>
      <c r="B3986" s="680"/>
    </row>
    <row r="3987" spans="1:2">
      <c r="A3987" s="126"/>
      <c r="B3987" s="680"/>
    </row>
    <row r="3988" spans="1:2">
      <c r="A3988" s="126"/>
      <c r="B3988" s="680"/>
    </row>
    <row r="3989" spans="1:2">
      <c r="A3989" s="126"/>
      <c r="B3989" s="680"/>
    </row>
    <row r="3990" spans="1:2">
      <c r="A3990" s="126"/>
      <c r="B3990" s="680"/>
    </row>
    <row r="3991" spans="1:2">
      <c r="A3991" s="126"/>
      <c r="B3991" s="680"/>
    </row>
    <row r="3992" spans="1:2">
      <c r="A3992" s="126"/>
      <c r="B3992" s="680"/>
    </row>
    <row r="3993" spans="1:2">
      <c r="A3993" s="126"/>
      <c r="B3993" s="680"/>
    </row>
    <row r="3994" spans="1:2">
      <c r="A3994" s="126"/>
      <c r="B3994" s="680"/>
    </row>
    <row r="3995" spans="1:2">
      <c r="A3995" s="126"/>
      <c r="B3995" s="680"/>
    </row>
    <row r="3996" spans="1:2">
      <c r="A3996" s="126"/>
      <c r="B3996" s="680"/>
    </row>
    <row r="3997" spans="1:2">
      <c r="A3997" s="126"/>
      <c r="B3997" s="680"/>
    </row>
    <row r="3998" spans="1:2">
      <c r="A3998" s="126"/>
      <c r="B3998" s="680"/>
    </row>
    <row r="3999" spans="1:2">
      <c r="A3999" s="126"/>
      <c r="B3999" s="680"/>
    </row>
    <row r="4000" spans="1:2">
      <c r="A4000" s="126"/>
      <c r="B4000" s="680"/>
    </row>
    <row r="4001" spans="1:2">
      <c r="A4001" s="126"/>
      <c r="B4001" s="680"/>
    </row>
    <row r="4002" spans="1:2">
      <c r="A4002" s="126"/>
      <c r="B4002" s="680"/>
    </row>
    <row r="4003" spans="1:2">
      <c r="A4003" s="126"/>
      <c r="B4003" s="680"/>
    </row>
    <row r="4004" spans="1:2">
      <c r="A4004" s="126"/>
      <c r="B4004" s="680"/>
    </row>
    <row r="4005" spans="1:2">
      <c r="A4005" s="126"/>
      <c r="B4005" s="680"/>
    </row>
    <row r="4006" spans="1:2">
      <c r="A4006" s="126"/>
      <c r="B4006" s="680"/>
    </row>
    <row r="4007" spans="1:2">
      <c r="A4007" s="126"/>
      <c r="B4007" s="680"/>
    </row>
    <row r="4008" spans="1:2">
      <c r="A4008" s="126"/>
      <c r="B4008" s="680"/>
    </row>
    <row r="4009" spans="1:2">
      <c r="A4009" s="126"/>
      <c r="B4009" s="680"/>
    </row>
    <row r="4010" spans="1:2">
      <c r="A4010" s="126"/>
      <c r="B4010" s="680"/>
    </row>
    <row r="4011" spans="1:2">
      <c r="A4011" s="126"/>
      <c r="B4011" s="680"/>
    </row>
    <row r="4012" spans="1:2">
      <c r="A4012" s="126"/>
      <c r="B4012" s="680"/>
    </row>
    <row r="4013" spans="1:2">
      <c r="A4013" s="126"/>
      <c r="B4013" s="680"/>
    </row>
    <row r="4014" spans="1:2">
      <c r="A4014" s="126"/>
      <c r="B4014" s="680"/>
    </row>
    <row r="4015" spans="1:2">
      <c r="A4015" s="126"/>
      <c r="B4015" s="680"/>
    </row>
    <row r="4016" spans="1:2">
      <c r="A4016" s="126"/>
      <c r="B4016" s="680"/>
    </row>
    <row r="4017" spans="1:2">
      <c r="A4017" s="126"/>
      <c r="B4017" s="680"/>
    </row>
    <row r="4018" spans="1:2">
      <c r="A4018" s="126"/>
      <c r="B4018" s="680"/>
    </row>
    <row r="4019" spans="1:2">
      <c r="A4019" s="126"/>
      <c r="B4019" s="680"/>
    </row>
    <row r="4020" spans="1:2">
      <c r="A4020" s="126"/>
      <c r="B4020" s="680"/>
    </row>
    <row r="4021" spans="1:2">
      <c r="A4021" s="126"/>
      <c r="B4021" s="680"/>
    </row>
    <row r="4022" spans="1:2">
      <c r="A4022" s="126"/>
      <c r="B4022" s="680"/>
    </row>
    <row r="4023" spans="1:2">
      <c r="A4023" s="126"/>
      <c r="B4023" s="680"/>
    </row>
    <row r="4024" spans="1:2">
      <c r="A4024" s="126"/>
      <c r="B4024" s="680"/>
    </row>
    <row r="4025" spans="1:2">
      <c r="A4025" s="126"/>
      <c r="B4025" s="680"/>
    </row>
    <row r="4026" spans="1:2">
      <c r="A4026" s="126"/>
      <c r="B4026" s="680"/>
    </row>
    <row r="4027" spans="1:2">
      <c r="A4027" s="126"/>
      <c r="B4027" s="680"/>
    </row>
    <row r="4028" spans="1:2">
      <c r="A4028" s="126"/>
      <c r="B4028" s="680"/>
    </row>
    <row r="4029" spans="1:2">
      <c r="A4029" s="126"/>
      <c r="B4029" s="680"/>
    </row>
    <row r="4030" spans="1:2">
      <c r="A4030" s="126"/>
      <c r="B4030" s="680"/>
    </row>
    <row r="4031" spans="1:2">
      <c r="A4031" s="126"/>
      <c r="B4031" s="680"/>
    </row>
    <row r="4032" spans="1:2">
      <c r="A4032" s="126"/>
      <c r="B4032" s="680"/>
    </row>
    <row r="4033" spans="1:2">
      <c r="A4033" s="126"/>
      <c r="B4033" s="680"/>
    </row>
    <row r="4034" spans="1:2">
      <c r="A4034" s="126"/>
      <c r="B4034" s="680"/>
    </row>
    <row r="4035" spans="1:2">
      <c r="A4035" s="126"/>
      <c r="B4035" s="680"/>
    </row>
    <row r="4036" spans="1:2">
      <c r="A4036" s="126"/>
      <c r="B4036" s="680"/>
    </row>
    <row r="4037" spans="1:2">
      <c r="A4037" s="126"/>
      <c r="B4037" s="680"/>
    </row>
    <row r="4038" spans="1:2">
      <c r="A4038" s="126"/>
      <c r="B4038" s="680"/>
    </row>
    <row r="4039" spans="1:2">
      <c r="A4039" s="126"/>
      <c r="B4039" s="680"/>
    </row>
    <row r="4040" spans="1:2">
      <c r="A4040" s="126"/>
      <c r="B4040" s="680"/>
    </row>
    <row r="4041" spans="1:2">
      <c r="A4041" s="126"/>
      <c r="B4041" s="680"/>
    </row>
    <row r="4042" spans="1:2">
      <c r="A4042" s="126"/>
      <c r="B4042" s="680"/>
    </row>
    <row r="4043" spans="1:2">
      <c r="A4043" s="126"/>
      <c r="B4043" s="680"/>
    </row>
    <row r="4044" spans="1:2">
      <c r="A4044" s="126"/>
      <c r="B4044" s="680"/>
    </row>
    <row r="4045" spans="1:2">
      <c r="A4045" s="126"/>
      <c r="B4045" s="680"/>
    </row>
    <row r="4046" spans="1:2">
      <c r="A4046" s="126"/>
      <c r="B4046" s="680"/>
    </row>
    <row r="4047" spans="1:2">
      <c r="A4047" s="126"/>
      <c r="B4047" s="680"/>
    </row>
    <row r="4048" spans="1:2">
      <c r="A4048" s="126"/>
      <c r="B4048" s="680"/>
    </row>
    <row r="4049" spans="1:2">
      <c r="A4049" s="126"/>
      <c r="B4049" s="680"/>
    </row>
    <row r="4050" spans="1:2">
      <c r="A4050" s="126"/>
      <c r="B4050" s="680"/>
    </row>
    <row r="4051" spans="1:2">
      <c r="A4051" s="126"/>
      <c r="B4051" s="680"/>
    </row>
    <row r="4052" spans="1:2">
      <c r="A4052" s="126"/>
      <c r="B4052" s="680"/>
    </row>
    <row r="4053" spans="1:2">
      <c r="A4053" s="126"/>
      <c r="B4053" s="680"/>
    </row>
    <row r="4054" spans="1:2">
      <c r="A4054" s="126"/>
      <c r="B4054" s="680"/>
    </row>
    <row r="4055" spans="1:2">
      <c r="A4055" s="126"/>
      <c r="B4055" s="680"/>
    </row>
    <row r="4056" spans="1:2">
      <c r="A4056" s="126"/>
      <c r="B4056" s="680"/>
    </row>
    <row r="4057" spans="1:2">
      <c r="A4057" s="126"/>
      <c r="B4057" s="680"/>
    </row>
    <row r="4058" spans="1:2">
      <c r="A4058" s="126"/>
      <c r="B4058" s="680"/>
    </row>
    <row r="4059" spans="1:2">
      <c r="A4059" s="126"/>
      <c r="B4059" s="680"/>
    </row>
    <row r="4060" spans="1:2">
      <c r="A4060" s="126"/>
      <c r="B4060" s="680"/>
    </row>
    <row r="4061" spans="1:2">
      <c r="A4061" s="126"/>
      <c r="B4061" s="680"/>
    </row>
    <row r="4062" spans="1:2">
      <c r="A4062" s="126"/>
      <c r="B4062" s="680"/>
    </row>
    <row r="4063" spans="1:2">
      <c r="A4063" s="126"/>
      <c r="B4063" s="680"/>
    </row>
    <row r="4064" spans="1:2">
      <c r="A4064" s="126"/>
      <c r="B4064" s="680"/>
    </row>
    <row r="4065" spans="1:2">
      <c r="A4065" s="126"/>
      <c r="B4065" s="680"/>
    </row>
    <row r="4066" spans="1:2">
      <c r="A4066" s="126"/>
      <c r="B4066" s="680"/>
    </row>
    <row r="4067" spans="1:2">
      <c r="A4067" s="126"/>
      <c r="B4067" s="680"/>
    </row>
    <row r="4068" spans="1:2">
      <c r="A4068" s="126"/>
      <c r="B4068" s="680"/>
    </row>
    <row r="4069" spans="1:2">
      <c r="A4069" s="126"/>
      <c r="B4069" s="680"/>
    </row>
    <row r="4070" spans="1:2">
      <c r="A4070" s="126"/>
      <c r="B4070" s="680"/>
    </row>
    <row r="4071" spans="1:2">
      <c r="A4071" s="126"/>
      <c r="B4071" s="680"/>
    </row>
    <row r="4072" spans="1:2">
      <c r="A4072" s="126"/>
      <c r="B4072" s="680"/>
    </row>
    <row r="4073" spans="1:2">
      <c r="A4073" s="126"/>
      <c r="B4073" s="680"/>
    </row>
    <row r="4074" spans="1:2">
      <c r="A4074" s="126"/>
      <c r="B4074" s="680"/>
    </row>
    <row r="4075" spans="1:2">
      <c r="A4075" s="126"/>
      <c r="B4075" s="680"/>
    </row>
    <row r="4076" spans="1:2">
      <c r="A4076" s="126"/>
      <c r="B4076" s="680"/>
    </row>
    <row r="4077" spans="1:2">
      <c r="A4077" s="126"/>
      <c r="B4077" s="680"/>
    </row>
    <row r="4078" spans="1:2">
      <c r="A4078" s="126"/>
      <c r="B4078" s="680"/>
    </row>
    <row r="4079" spans="1:2">
      <c r="A4079" s="126"/>
      <c r="B4079" s="680"/>
    </row>
    <row r="4080" spans="1:2">
      <c r="A4080" s="126"/>
      <c r="B4080" s="680"/>
    </row>
    <row r="4081" spans="1:2">
      <c r="A4081" s="126"/>
      <c r="B4081" s="680"/>
    </row>
    <row r="4082" spans="1:2">
      <c r="A4082" s="126"/>
      <c r="B4082" s="680"/>
    </row>
    <row r="4083" spans="1:2">
      <c r="A4083" s="126"/>
      <c r="B4083" s="680"/>
    </row>
    <row r="4084" spans="1:2">
      <c r="A4084" s="126"/>
      <c r="B4084" s="680"/>
    </row>
    <row r="4085" spans="1:2">
      <c r="A4085" s="126"/>
      <c r="B4085" s="680"/>
    </row>
    <row r="4086" spans="1:2">
      <c r="A4086" s="126"/>
      <c r="B4086" s="680"/>
    </row>
    <row r="4087" spans="1:2">
      <c r="A4087" s="126"/>
      <c r="B4087" s="680"/>
    </row>
    <row r="4088" spans="1:2">
      <c r="A4088" s="126"/>
      <c r="B4088" s="680"/>
    </row>
    <row r="4089" spans="1:2">
      <c r="A4089" s="126"/>
      <c r="B4089" s="680"/>
    </row>
    <row r="4090" spans="1:2">
      <c r="A4090" s="126"/>
      <c r="B4090" s="680"/>
    </row>
    <row r="4091" spans="1:2">
      <c r="A4091" s="126"/>
      <c r="B4091" s="680"/>
    </row>
    <row r="4092" spans="1:2">
      <c r="A4092" s="126"/>
      <c r="B4092" s="680"/>
    </row>
    <row r="4093" spans="1:2">
      <c r="A4093" s="126"/>
      <c r="B4093" s="680"/>
    </row>
    <row r="4094" spans="1:2">
      <c r="A4094" s="126"/>
      <c r="B4094" s="680"/>
    </row>
    <row r="4095" spans="1:2">
      <c r="A4095" s="126"/>
      <c r="B4095" s="680"/>
    </row>
    <row r="4096" spans="1:2">
      <c r="A4096" s="126"/>
      <c r="B4096" s="680"/>
    </row>
    <row r="4097" spans="1:2">
      <c r="A4097" s="126"/>
      <c r="B4097" s="680"/>
    </row>
    <row r="4098" spans="1:2">
      <c r="A4098" s="126"/>
      <c r="B4098" s="680"/>
    </row>
    <row r="4099" spans="1:2">
      <c r="A4099" s="126"/>
      <c r="B4099" s="680"/>
    </row>
    <row r="4100" spans="1:2">
      <c r="A4100" s="126"/>
      <c r="B4100" s="680"/>
    </row>
    <row r="4101" spans="1:2">
      <c r="A4101" s="126"/>
      <c r="B4101" s="680"/>
    </row>
    <row r="4102" spans="1:2">
      <c r="A4102" s="126"/>
      <c r="B4102" s="680"/>
    </row>
    <row r="4103" spans="1:2">
      <c r="A4103" s="126"/>
      <c r="B4103" s="680"/>
    </row>
    <row r="4104" spans="1:2">
      <c r="A4104" s="126"/>
      <c r="B4104" s="680"/>
    </row>
    <row r="4105" spans="1:2">
      <c r="A4105" s="126"/>
      <c r="B4105" s="680"/>
    </row>
    <row r="4106" spans="1:2">
      <c r="A4106" s="126"/>
      <c r="B4106" s="680"/>
    </row>
    <row r="4107" spans="1:2">
      <c r="A4107" s="126"/>
      <c r="B4107" s="680"/>
    </row>
    <row r="4108" spans="1:2">
      <c r="A4108" s="126"/>
      <c r="B4108" s="680"/>
    </row>
    <row r="4109" spans="1:2">
      <c r="A4109" s="126"/>
      <c r="B4109" s="680"/>
    </row>
    <row r="4110" spans="1:2">
      <c r="A4110" s="126"/>
      <c r="B4110" s="680"/>
    </row>
    <row r="4111" spans="1:2">
      <c r="A4111" s="126"/>
      <c r="B4111" s="680"/>
    </row>
    <row r="4112" spans="1:2">
      <c r="A4112" s="126"/>
      <c r="B4112" s="680"/>
    </row>
    <row r="4113" spans="1:2">
      <c r="A4113" s="126"/>
      <c r="B4113" s="680"/>
    </row>
    <row r="4114" spans="1:2">
      <c r="A4114" s="126"/>
      <c r="B4114" s="680"/>
    </row>
    <row r="4115" spans="1:2">
      <c r="A4115" s="126"/>
      <c r="B4115" s="680"/>
    </row>
    <row r="4116" spans="1:2">
      <c r="A4116" s="126"/>
      <c r="B4116" s="680"/>
    </row>
    <row r="4117" spans="1:2">
      <c r="A4117" s="126"/>
      <c r="B4117" s="680"/>
    </row>
    <row r="4118" spans="1:2">
      <c r="A4118" s="126"/>
      <c r="B4118" s="680"/>
    </row>
    <row r="4119" spans="1:2">
      <c r="A4119" s="126"/>
      <c r="B4119" s="680"/>
    </row>
    <row r="4120" spans="1:2">
      <c r="A4120" s="126"/>
      <c r="B4120" s="680"/>
    </row>
    <row r="4121" spans="1:2">
      <c r="A4121" s="126"/>
      <c r="B4121" s="680"/>
    </row>
    <row r="4122" spans="1:2">
      <c r="A4122" s="126"/>
      <c r="B4122" s="680"/>
    </row>
    <row r="4123" spans="1:2">
      <c r="A4123" s="126"/>
      <c r="B4123" s="680"/>
    </row>
    <row r="4124" spans="1:2">
      <c r="A4124" s="126"/>
      <c r="B4124" s="680"/>
    </row>
    <row r="4125" spans="1:2">
      <c r="A4125" s="126"/>
      <c r="B4125" s="680"/>
    </row>
    <row r="4126" spans="1:2">
      <c r="A4126" s="126"/>
      <c r="B4126" s="680"/>
    </row>
    <row r="4127" spans="1:2">
      <c r="A4127" s="126"/>
      <c r="B4127" s="680"/>
    </row>
    <row r="4128" spans="1:2">
      <c r="A4128" s="126"/>
      <c r="B4128" s="680"/>
    </row>
    <row r="4129" spans="1:2">
      <c r="A4129" s="126"/>
      <c r="B4129" s="680"/>
    </row>
    <row r="4130" spans="1:2">
      <c r="A4130" s="126"/>
      <c r="B4130" s="680"/>
    </row>
    <row r="4131" spans="1:2">
      <c r="A4131" s="126"/>
      <c r="B4131" s="680"/>
    </row>
    <row r="4132" spans="1:2">
      <c r="A4132" s="126"/>
      <c r="B4132" s="680"/>
    </row>
    <row r="4133" spans="1:2">
      <c r="A4133" s="126"/>
      <c r="B4133" s="680"/>
    </row>
    <row r="4134" spans="1:2">
      <c r="A4134" s="126"/>
      <c r="B4134" s="680"/>
    </row>
    <row r="4135" spans="1:2">
      <c r="A4135" s="126"/>
      <c r="B4135" s="680"/>
    </row>
    <row r="4136" spans="1:2">
      <c r="A4136" s="126"/>
      <c r="B4136" s="680"/>
    </row>
    <row r="4137" spans="1:2">
      <c r="A4137" s="126"/>
      <c r="B4137" s="680"/>
    </row>
    <row r="4138" spans="1:2">
      <c r="A4138" s="126"/>
      <c r="B4138" s="680"/>
    </row>
    <row r="4139" spans="1:2">
      <c r="A4139" s="126"/>
      <c r="B4139" s="680"/>
    </row>
    <row r="4140" spans="1:2">
      <c r="A4140" s="126"/>
      <c r="B4140" s="680"/>
    </row>
    <row r="4141" spans="1:2">
      <c r="A4141" s="126"/>
      <c r="B4141" s="680"/>
    </row>
    <row r="4142" spans="1:2">
      <c r="A4142" s="126"/>
      <c r="B4142" s="680"/>
    </row>
    <row r="4143" spans="1:2">
      <c r="A4143" s="126"/>
      <c r="B4143" s="680"/>
    </row>
    <row r="4144" spans="1:2">
      <c r="A4144" s="126"/>
      <c r="B4144" s="680"/>
    </row>
    <row r="4145" spans="1:2">
      <c r="A4145" s="126"/>
      <c r="B4145" s="680"/>
    </row>
    <row r="4146" spans="1:2">
      <c r="A4146" s="126"/>
      <c r="B4146" s="680"/>
    </row>
    <row r="4147" spans="1:2">
      <c r="A4147" s="126"/>
      <c r="B4147" s="680"/>
    </row>
    <row r="4148" spans="1:2">
      <c r="A4148" s="126"/>
      <c r="B4148" s="680"/>
    </row>
    <row r="4149" spans="1:2">
      <c r="A4149" s="126"/>
      <c r="B4149" s="680"/>
    </row>
    <row r="4150" spans="1:2">
      <c r="A4150" s="126"/>
      <c r="B4150" s="680"/>
    </row>
    <row r="4151" spans="1:2">
      <c r="A4151" s="126"/>
      <c r="B4151" s="680"/>
    </row>
    <row r="4152" spans="1:2">
      <c r="A4152" s="126"/>
      <c r="B4152" s="680"/>
    </row>
    <row r="4153" spans="1:2">
      <c r="A4153" s="126"/>
      <c r="B4153" s="680"/>
    </row>
    <row r="4154" spans="1:2">
      <c r="A4154" s="126"/>
      <c r="B4154" s="680"/>
    </row>
    <row r="4155" spans="1:2">
      <c r="A4155" s="126"/>
      <c r="B4155" s="680"/>
    </row>
    <row r="4156" spans="1:2">
      <c r="A4156" s="126"/>
      <c r="B4156" s="680"/>
    </row>
    <row r="4157" spans="1:2">
      <c r="A4157" s="126"/>
      <c r="B4157" s="680"/>
    </row>
    <row r="4158" spans="1:2">
      <c r="A4158" s="126"/>
      <c r="B4158" s="680"/>
    </row>
    <row r="4159" spans="1:2">
      <c r="A4159" s="126"/>
      <c r="B4159" s="680"/>
    </row>
    <row r="4160" spans="1:2">
      <c r="A4160" s="126"/>
      <c r="B4160" s="680"/>
    </row>
    <row r="4161" spans="1:2">
      <c r="A4161" s="126"/>
      <c r="B4161" s="680"/>
    </row>
    <row r="4162" spans="1:2">
      <c r="A4162" s="126"/>
      <c r="B4162" s="680"/>
    </row>
    <row r="4163" spans="1:2">
      <c r="A4163" s="126"/>
      <c r="B4163" s="680"/>
    </row>
    <row r="4164" spans="1:2">
      <c r="A4164" s="126"/>
      <c r="B4164" s="680"/>
    </row>
    <row r="4165" spans="1:2">
      <c r="A4165" s="126"/>
      <c r="B4165" s="680"/>
    </row>
    <row r="4166" spans="1:2">
      <c r="A4166" s="126"/>
      <c r="B4166" s="680"/>
    </row>
    <row r="4167" spans="1:2">
      <c r="A4167" s="126"/>
      <c r="B4167" s="680"/>
    </row>
    <row r="4168" spans="1:2">
      <c r="A4168" s="126"/>
      <c r="B4168" s="680"/>
    </row>
    <row r="4169" spans="1:2">
      <c r="A4169" s="126"/>
      <c r="B4169" s="680"/>
    </row>
    <row r="4170" spans="1:2">
      <c r="A4170" s="126"/>
      <c r="B4170" s="680"/>
    </row>
    <row r="4171" spans="1:2">
      <c r="A4171" s="126"/>
      <c r="B4171" s="680"/>
    </row>
    <row r="4172" spans="1:2">
      <c r="A4172" s="126"/>
      <c r="B4172" s="680"/>
    </row>
    <row r="4173" spans="1:2">
      <c r="A4173" s="126"/>
      <c r="B4173" s="680"/>
    </row>
    <row r="4174" spans="1:2">
      <c r="A4174" s="126"/>
      <c r="B4174" s="680"/>
    </row>
    <row r="4175" spans="1:2">
      <c r="A4175" s="126"/>
      <c r="B4175" s="680"/>
    </row>
    <row r="4176" spans="1:2">
      <c r="A4176" s="126"/>
      <c r="B4176" s="680"/>
    </row>
    <row r="4177" spans="1:2">
      <c r="A4177" s="126"/>
      <c r="B4177" s="680"/>
    </row>
    <row r="4178" spans="1:2">
      <c r="A4178" s="126"/>
      <c r="B4178" s="680"/>
    </row>
    <row r="4179" spans="1:2">
      <c r="A4179" s="126"/>
      <c r="B4179" s="680"/>
    </row>
    <row r="4180" spans="1:2">
      <c r="A4180" s="126"/>
      <c r="B4180" s="680"/>
    </row>
    <row r="4181" spans="1:2">
      <c r="A4181" s="126"/>
      <c r="B4181" s="680"/>
    </row>
    <row r="4182" spans="1:2">
      <c r="A4182" s="126"/>
      <c r="B4182" s="680"/>
    </row>
    <row r="4183" spans="1:2">
      <c r="A4183" s="126"/>
      <c r="B4183" s="680"/>
    </row>
    <row r="4184" spans="1:2">
      <c r="A4184" s="126"/>
      <c r="B4184" s="680"/>
    </row>
    <row r="4185" spans="1:2">
      <c r="A4185" s="126"/>
      <c r="B4185" s="680"/>
    </row>
    <row r="4186" spans="1:2">
      <c r="A4186" s="126"/>
      <c r="B4186" s="680"/>
    </row>
    <row r="4187" spans="1:2">
      <c r="A4187" s="126"/>
      <c r="B4187" s="680"/>
    </row>
    <row r="4188" spans="1:2">
      <c r="A4188" s="126"/>
      <c r="B4188" s="680"/>
    </row>
    <row r="4189" spans="1:2">
      <c r="A4189" s="126"/>
      <c r="B4189" s="680"/>
    </row>
    <row r="4190" spans="1:2">
      <c r="A4190" s="126"/>
      <c r="B4190" s="680"/>
    </row>
    <row r="4191" spans="1:2">
      <c r="A4191" s="126"/>
      <c r="B4191" s="680"/>
    </row>
    <row r="4192" spans="1:2">
      <c r="A4192" s="126"/>
      <c r="B4192" s="680"/>
    </row>
    <row r="4193" spans="1:2">
      <c r="A4193" s="126"/>
      <c r="B4193" s="680"/>
    </row>
    <row r="4194" spans="1:2">
      <c r="A4194" s="126"/>
      <c r="B4194" s="680"/>
    </row>
    <row r="4195" spans="1:2">
      <c r="A4195" s="126"/>
      <c r="B4195" s="680"/>
    </row>
    <row r="4196" spans="1:2">
      <c r="A4196" s="126"/>
      <c r="B4196" s="680"/>
    </row>
    <row r="4197" spans="1:2">
      <c r="A4197" s="126"/>
      <c r="B4197" s="680"/>
    </row>
    <row r="4198" spans="1:2">
      <c r="A4198" s="126"/>
      <c r="B4198" s="680"/>
    </row>
    <row r="4199" spans="1:2">
      <c r="A4199" s="126"/>
      <c r="B4199" s="680"/>
    </row>
    <row r="4200" spans="1:2">
      <c r="A4200" s="126"/>
      <c r="B4200" s="680"/>
    </row>
    <row r="4201" spans="1:2">
      <c r="A4201" s="126"/>
      <c r="B4201" s="680"/>
    </row>
  </sheetData>
  <mergeCells count="9">
    <mergeCell ref="B39:F39"/>
    <mergeCell ref="H39:K39"/>
    <mergeCell ref="I71:J71"/>
    <mergeCell ref="I37:J37"/>
    <mergeCell ref="A1:N1"/>
    <mergeCell ref="A2:N2"/>
    <mergeCell ref="A3:N3"/>
    <mergeCell ref="B5:F5"/>
    <mergeCell ref="H5:K5"/>
  </mergeCells>
  <printOptions horizontalCentered="1"/>
  <pageMargins left="0.70866141732283472" right="0.70866141732283472" top="0.74803149606299213" bottom="0.74803149606299213" header="0.31496062992125984" footer="0.31496062992125984"/>
  <pageSetup paperSize="9" scale="71"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sheetPr>
    <tabColor rgb="FF66FF66"/>
    <pageSetUpPr fitToPage="1"/>
  </sheetPr>
  <dimension ref="A1:AF61"/>
  <sheetViews>
    <sheetView showGridLines="0" view="pageBreakPreview" topLeftCell="G4" zoomScaleSheetLayoutView="100" workbookViewId="0">
      <selection activeCell="K12" sqref="K12"/>
    </sheetView>
  </sheetViews>
  <sheetFormatPr defaultRowHeight="12.75"/>
  <cols>
    <col min="1" max="1" width="19.140625" style="313" bestFit="1" customWidth="1"/>
    <col min="2" max="2" width="13.7109375" style="334" hidden="1" customWidth="1"/>
    <col min="3" max="4" width="11.85546875" style="334" hidden="1" customWidth="1"/>
    <col min="5" max="5" width="11.140625" style="334" hidden="1" customWidth="1"/>
    <col min="6" max="6" width="10.85546875" style="334" hidden="1" customWidth="1"/>
    <col min="7" max="7" width="13.7109375" style="334" bestFit="1" customWidth="1"/>
    <col min="8" max="8" width="11.85546875" style="334" customWidth="1"/>
    <col min="9" max="9" width="11.85546875" style="312" customWidth="1"/>
    <col min="10" max="10" width="12.5703125" style="334" customWidth="1"/>
    <col min="11" max="11" width="11.85546875" style="334" customWidth="1"/>
    <col min="12" max="12" width="15" style="312" bestFit="1" customWidth="1"/>
    <col min="13" max="13" width="11.85546875" style="334" customWidth="1"/>
    <col min="14" max="14" width="13.7109375" style="334" hidden="1" customWidth="1"/>
    <col min="15" max="16" width="10.85546875" style="334" hidden="1" customWidth="1"/>
    <col min="17" max="17" width="9.42578125" style="334" hidden="1" customWidth="1"/>
    <col min="18" max="18" width="13.7109375" style="334" bestFit="1" customWidth="1"/>
    <col min="19" max="22" width="15.42578125" style="334" customWidth="1"/>
    <col min="23" max="25" width="1.140625" style="334" customWidth="1"/>
    <col min="26" max="26" width="14.7109375" style="334" bestFit="1" customWidth="1"/>
    <col min="27" max="27" width="1.42578125" style="334" customWidth="1"/>
    <col min="28" max="28" width="9.42578125" style="334" bestFit="1" customWidth="1"/>
    <col min="29" max="29" width="3" style="313" customWidth="1"/>
    <col min="30" max="30" width="14" style="313" bestFit="1" customWidth="1"/>
    <col min="31" max="16384" width="9.140625" style="313"/>
  </cols>
  <sheetData>
    <row r="1" spans="1:29">
      <c r="A1" s="1751" t="s">
        <v>795</v>
      </c>
      <c r="B1" s="1751"/>
      <c r="C1" s="1751"/>
      <c r="D1" s="1751"/>
      <c r="E1" s="1751"/>
      <c r="F1" s="1751"/>
      <c r="G1" s="1751"/>
      <c r="H1" s="1751"/>
      <c r="I1" s="1751"/>
      <c r="J1" s="1751"/>
      <c r="K1" s="1751"/>
      <c r="L1" s="1751"/>
      <c r="M1" s="1751"/>
      <c r="N1" s="1751"/>
      <c r="O1" s="1751"/>
      <c r="P1" s="1751"/>
      <c r="Q1" s="1751"/>
      <c r="R1" s="1751"/>
      <c r="S1" s="1751"/>
      <c r="T1" s="1751"/>
      <c r="U1" s="1751"/>
      <c r="V1" s="1751"/>
      <c r="W1" s="1751"/>
      <c r="X1" s="1751"/>
      <c r="Y1" s="1751"/>
      <c r="Z1" s="1751"/>
      <c r="AA1" s="1751"/>
      <c r="AB1" s="1751"/>
    </row>
    <row r="2" spans="1:29">
      <c r="A2" s="1751" t="s">
        <v>796</v>
      </c>
      <c r="B2" s="1751"/>
      <c r="C2" s="1751"/>
      <c r="D2" s="1751"/>
      <c r="E2" s="1751"/>
      <c r="F2" s="1751"/>
      <c r="G2" s="1751"/>
      <c r="H2" s="1751"/>
      <c r="I2" s="1751"/>
      <c r="J2" s="1751"/>
      <c r="K2" s="1751"/>
      <c r="L2" s="1751"/>
      <c r="M2" s="1751"/>
      <c r="N2" s="1751"/>
      <c r="O2" s="1751"/>
      <c r="P2" s="1751"/>
      <c r="Q2" s="1751"/>
      <c r="R2" s="1751"/>
      <c r="S2" s="1751"/>
      <c r="T2" s="1751"/>
      <c r="U2" s="1751"/>
      <c r="V2" s="1751"/>
      <c r="W2" s="1751"/>
      <c r="X2" s="1751"/>
      <c r="Y2" s="1751"/>
      <c r="Z2" s="1751"/>
      <c r="AA2" s="1751"/>
      <c r="AB2" s="1751"/>
    </row>
    <row r="3" spans="1:29">
      <c r="A3" s="1751" t="s">
        <v>2101</v>
      </c>
      <c r="B3" s="1751"/>
      <c r="C3" s="1751"/>
      <c r="D3" s="1751"/>
      <c r="E3" s="1751"/>
      <c r="F3" s="1751"/>
      <c r="G3" s="1751"/>
      <c r="H3" s="1751"/>
      <c r="I3" s="1751"/>
      <c r="J3" s="1751"/>
      <c r="K3" s="1751"/>
      <c r="L3" s="1751"/>
      <c r="M3" s="1751"/>
      <c r="N3" s="1751"/>
      <c r="O3" s="1751"/>
      <c r="P3" s="1751"/>
      <c r="Q3" s="1751"/>
      <c r="R3" s="1751"/>
      <c r="S3" s="1751"/>
      <c r="T3" s="1751"/>
      <c r="U3" s="1751"/>
      <c r="V3" s="1751"/>
      <c r="W3" s="1751"/>
      <c r="X3" s="1751"/>
      <c r="Y3" s="1751"/>
      <c r="Z3" s="1751"/>
      <c r="AA3" s="1751"/>
      <c r="AB3" s="1751"/>
    </row>
    <row r="5" spans="1:29" ht="12.75" customHeight="1">
      <c r="A5" s="791"/>
      <c r="B5" s="1753" t="s">
        <v>505</v>
      </c>
      <c r="C5" s="1753"/>
      <c r="D5" s="1753"/>
      <c r="E5" s="1753"/>
      <c r="F5" s="1753"/>
      <c r="G5" s="1753"/>
      <c r="H5" s="1753"/>
      <c r="I5" s="1753"/>
      <c r="J5" s="1753"/>
      <c r="K5" s="1753"/>
      <c r="L5" s="1753"/>
      <c r="M5" s="490"/>
      <c r="N5" s="1753" t="s">
        <v>506</v>
      </c>
      <c r="O5" s="1753"/>
      <c r="P5" s="1753"/>
      <c r="Q5" s="1753"/>
      <c r="R5" s="1753"/>
      <c r="S5" s="1753"/>
      <c r="T5" s="1753"/>
      <c r="U5" s="1753"/>
      <c r="V5" s="1753"/>
      <c r="W5" s="490"/>
      <c r="X5" s="490"/>
      <c r="Y5" s="490"/>
      <c r="Z5" s="490"/>
      <c r="AA5" s="490"/>
      <c r="AB5" s="1763"/>
      <c r="AC5" s="1764"/>
    </row>
    <row r="6" spans="1:29" ht="63.75">
      <c r="A6" s="194"/>
      <c r="B6" s="139" t="s">
        <v>1988</v>
      </c>
      <c r="C6" s="139" t="s">
        <v>507</v>
      </c>
      <c r="D6" s="139" t="s">
        <v>2031</v>
      </c>
      <c r="E6" s="139" t="s">
        <v>508</v>
      </c>
      <c r="F6" s="139" t="s">
        <v>629</v>
      </c>
      <c r="G6" s="139" t="s">
        <v>1986</v>
      </c>
      <c r="H6" s="139" t="s">
        <v>507</v>
      </c>
      <c r="I6" s="168" t="s">
        <v>2031</v>
      </c>
      <c r="J6" s="139" t="s">
        <v>508</v>
      </c>
      <c r="K6" s="139" t="s">
        <v>629</v>
      </c>
      <c r="L6" s="168" t="s">
        <v>2098</v>
      </c>
      <c r="M6" s="144"/>
      <c r="N6" s="139" t="s">
        <v>1987</v>
      </c>
      <c r="O6" s="139" t="s">
        <v>509</v>
      </c>
      <c r="P6" s="139" t="s">
        <v>1151</v>
      </c>
      <c r="Q6" s="139" t="s">
        <v>629</v>
      </c>
      <c r="R6" s="139" t="s">
        <v>1986</v>
      </c>
      <c r="S6" s="139" t="s">
        <v>509</v>
      </c>
      <c r="T6" s="139" t="s">
        <v>1151</v>
      </c>
      <c r="U6" s="139" t="s">
        <v>629</v>
      </c>
      <c r="V6" s="139" t="s">
        <v>2098</v>
      </c>
      <c r="W6" s="144"/>
      <c r="X6" s="144"/>
      <c r="Y6" s="144"/>
      <c r="Z6" s="139" t="s">
        <v>510</v>
      </c>
      <c r="AA6" s="144"/>
      <c r="AB6" s="139" t="s">
        <v>2100</v>
      </c>
      <c r="AC6" s="145"/>
    </row>
    <row r="7" spans="1:29">
      <c r="A7" s="195"/>
      <c r="B7" s="156" t="s">
        <v>1314</v>
      </c>
      <c r="C7" s="156" t="s">
        <v>1314</v>
      </c>
      <c r="D7" s="156"/>
      <c r="E7" s="156"/>
      <c r="F7" s="156" t="s">
        <v>1314</v>
      </c>
      <c r="G7" s="156" t="s">
        <v>1314</v>
      </c>
      <c r="H7" s="156"/>
      <c r="I7" s="167"/>
      <c r="J7" s="156"/>
      <c r="K7" s="156"/>
      <c r="L7" s="167"/>
      <c r="M7" s="156"/>
      <c r="N7" s="156" t="s">
        <v>1314</v>
      </c>
      <c r="O7" s="156" t="s">
        <v>1314</v>
      </c>
      <c r="P7" s="156"/>
      <c r="Q7" s="156" t="s">
        <v>1314</v>
      </c>
      <c r="R7" s="156" t="s">
        <v>1314</v>
      </c>
      <c r="S7" s="156"/>
      <c r="T7" s="156"/>
      <c r="U7" s="156"/>
      <c r="V7" s="156"/>
      <c r="W7" s="156"/>
      <c r="X7" s="156"/>
      <c r="Y7" s="156"/>
      <c r="Z7" s="156" t="s">
        <v>1314</v>
      </c>
      <c r="AA7" s="156"/>
      <c r="AB7" s="156" t="s">
        <v>1314</v>
      </c>
      <c r="AC7" s="157"/>
    </row>
    <row r="8" spans="1:29" ht="25.5">
      <c r="A8" s="194" t="s">
        <v>630</v>
      </c>
      <c r="B8" s="149">
        <f>B9</f>
        <v>2124292</v>
      </c>
      <c r="C8" s="149">
        <f>C9</f>
        <v>6228.8</v>
      </c>
      <c r="D8" s="149"/>
      <c r="E8" s="149">
        <f>E9</f>
        <v>0</v>
      </c>
      <c r="F8" s="149">
        <f>F9</f>
        <v>275</v>
      </c>
      <c r="G8" s="149">
        <f>G9</f>
        <v>2130245.7999999998</v>
      </c>
      <c r="H8" s="149">
        <f t="shared" ref="H8:L8" si="0">H9</f>
        <v>2589570.2400000002</v>
      </c>
      <c r="I8" s="771">
        <f t="shared" si="0"/>
        <v>0</v>
      </c>
      <c r="J8" s="149">
        <f t="shared" si="0"/>
        <v>0</v>
      </c>
      <c r="K8" s="149">
        <f t="shared" si="0"/>
        <v>0</v>
      </c>
      <c r="L8" s="771">
        <f t="shared" si="0"/>
        <v>4719816.04</v>
      </c>
      <c r="M8" s="149"/>
      <c r="N8" s="149">
        <f>N9</f>
        <v>713477</v>
      </c>
      <c r="O8" s="149">
        <f>O9</f>
        <v>405450.9</v>
      </c>
      <c r="P8" s="149">
        <f>SUM(P9)</f>
        <v>66390</v>
      </c>
      <c r="Q8" s="149">
        <f>Q9</f>
        <v>164.8</v>
      </c>
      <c r="R8" s="149">
        <f>R9</f>
        <v>1185153.0999999999</v>
      </c>
      <c r="S8" s="149">
        <f t="shared" ref="S8:V8" si="1">S9</f>
        <v>3441124.71</v>
      </c>
      <c r="T8" s="149">
        <f t="shared" si="1"/>
        <v>0</v>
      </c>
      <c r="U8" s="149">
        <f t="shared" si="1"/>
        <v>0</v>
      </c>
      <c r="V8" s="149">
        <f t="shared" si="1"/>
        <v>4626277.8099999996</v>
      </c>
      <c r="W8" s="149"/>
      <c r="X8" s="149"/>
      <c r="Y8" s="149"/>
      <c r="Z8" s="149">
        <f>Z9</f>
        <v>93538.230000000447</v>
      </c>
      <c r="AA8" s="149"/>
      <c r="AB8" s="149">
        <f>AB9</f>
        <v>0</v>
      </c>
      <c r="AC8" s="196"/>
    </row>
    <row r="9" spans="1:29" ht="21" customHeight="1">
      <c r="A9" s="764" t="s">
        <v>631</v>
      </c>
      <c r="B9" s="558">
        <v>2124292</v>
      </c>
      <c r="C9" s="558">
        <v>6228.8</v>
      </c>
      <c r="D9" s="558"/>
      <c r="E9" s="558">
        <v>0</v>
      </c>
      <c r="F9" s="558">
        <v>275</v>
      </c>
      <c r="G9" s="558">
        <f>+B9+C9+E9-F9</f>
        <v>2130245.7999999998</v>
      </c>
      <c r="H9" s="558">
        <f>2192.1+2587378.16-0.02</f>
        <v>2589570.2400000002</v>
      </c>
      <c r="I9" s="1572"/>
      <c r="J9" s="558"/>
      <c r="K9" s="558"/>
      <c r="L9" s="1574">
        <f>G9+H9+I9+J9-K9</f>
        <v>4719816.04</v>
      </c>
      <c r="M9" s="513"/>
      <c r="N9" s="558">
        <v>713477</v>
      </c>
      <c r="O9" s="558">
        <v>405450.9</v>
      </c>
      <c r="P9" s="558">
        <v>66390</v>
      </c>
      <c r="Q9" s="558">
        <v>164.8</v>
      </c>
      <c r="R9" s="558">
        <f>+N9+O9-Q9+P9</f>
        <v>1185153.0999999999</v>
      </c>
      <c r="S9" s="558">
        <f>390374.77+2298880.94+751869</f>
        <v>3441124.71</v>
      </c>
      <c r="T9" s="558">
        <v>0</v>
      </c>
      <c r="U9" s="558">
        <v>0</v>
      </c>
      <c r="V9" s="558">
        <f>R9+S9+T9-U9</f>
        <v>4626277.8099999996</v>
      </c>
      <c r="W9" s="513"/>
      <c r="X9" s="513"/>
      <c r="Y9" s="513"/>
      <c r="Z9" s="558">
        <f>+L9-V9</f>
        <v>93538.230000000447</v>
      </c>
      <c r="AA9" s="513"/>
      <c r="AB9" s="558">
        <v>0</v>
      </c>
      <c r="AC9" s="767"/>
    </row>
    <row r="10" spans="1:29" ht="25.5">
      <c r="A10" s="194" t="s">
        <v>632</v>
      </c>
      <c r="B10" s="149">
        <f t="shared" ref="B10:L10" si="2">SUM(B11:B23)</f>
        <v>51010808.359999999</v>
      </c>
      <c r="C10" s="149">
        <f t="shared" si="2"/>
        <v>9824579.1399999987</v>
      </c>
      <c r="D10" s="149">
        <f t="shared" si="2"/>
        <v>423376.42</v>
      </c>
      <c r="E10" s="149">
        <f t="shared" si="2"/>
        <v>0</v>
      </c>
      <c r="F10" s="149">
        <f t="shared" si="2"/>
        <v>0</v>
      </c>
      <c r="G10" s="149">
        <f t="shared" si="2"/>
        <v>60412011.079999998</v>
      </c>
      <c r="H10" s="149">
        <f t="shared" si="2"/>
        <v>6437351.71</v>
      </c>
      <c r="I10" s="771">
        <f t="shared" si="2"/>
        <v>-965536.90999999992</v>
      </c>
      <c r="J10" s="149">
        <f t="shared" si="2"/>
        <v>0</v>
      </c>
      <c r="K10" s="149">
        <f t="shared" si="2"/>
        <v>1932</v>
      </c>
      <c r="L10" s="771">
        <f t="shared" si="2"/>
        <v>65881893.879999995</v>
      </c>
      <c r="M10" s="149"/>
      <c r="N10" s="149">
        <f t="shared" ref="N10:T10" si="3">SUM(N11:N23)</f>
        <v>17952591</v>
      </c>
      <c r="O10" s="149">
        <f t="shared" si="3"/>
        <v>3102620.57</v>
      </c>
      <c r="P10" s="149">
        <f t="shared" si="3"/>
        <v>-97949</v>
      </c>
      <c r="Q10" s="149">
        <f t="shared" si="3"/>
        <v>0</v>
      </c>
      <c r="R10" s="149">
        <f t="shared" si="3"/>
        <v>20957262.57</v>
      </c>
      <c r="S10" s="149">
        <f t="shared" si="3"/>
        <v>2365983.2000000007</v>
      </c>
      <c r="T10" s="149">
        <f t="shared" si="3"/>
        <v>0</v>
      </c>
      <c r="U10" s="149">
        <f t="shared" ref="U10:V10" si="4">SUM(U11:U23)</f>
        <v>0</v>
      </c>
      <c r="V10" s="149">
        <f t="shared" si="4"/>
        <v>23323245.769999996</v>
      </c>
      <c r="W10" s="149"/>
      <c r="X10" s="149"/>
      <c r="Y10" s="149"/>
      <c r="Z10" s="149">
        <f>SUM(Z11:Z23)</f>
        <v>42558648.110000007</v>
      </c>
      <c r="AA10" s="149"/>
      <c r="AB10" s="149">
        <f>SUM(AB11:AB23)</f>
        <v>0</v>
      </c>
      <c r="AC10" s="196"/>
    </row>
    <row r="11" spans="1:29" ht="15.75" customHeight="1">
      <c r="A11" s="764" t="s">
        <v>633</v>
      </c>
      <c r="B11" s="543">
        <v>2963586</v>
      </c>
      <c r="C11" s="543">
        <v>344700.12</v>
      </c>
      <c r="D11" s="543"/>
      <c r="E11" s="543">
        <v>0</v>
      </c>
      <c r="F11" s="543">
        <v>0</v>
      </c>
      <c r="G11" s="765">
        <f>+B11+C11+E11-F11</f>
        <v>3308286.12</v>
      </c>
      <c r="H11" s="543">
        <v>10132.280000000001</v>
      </c>
      <c r="I11" s="977"/>
      <c r="J11" s="543"/>
      <c r="K11" s="543">
        <v>1932</v>
      </c>
      <c r="L11" s="980">
        <f t="shared" ref="L11:L54" si="5">G11+H11+I11+J11-K11</f>
        <v>3316486.4</v>
      </c>
      <c r="M11" s="513"/>
      <c r="N11" s="543">
        <v>2226867</v>
      </c>
      <c r="O11" s="543">
        <v>246310.05</v>
      </c>
      <c r="P11" s="543">
        <v>43619</v>
      </c>
      <c r="Q11" s="765">
        <v>0</v>
      </c>
      <c r="R11" s="543">
        <f>+N11+O11-Q11+P11</f>
        <v>2516796.0499999998</v>
      </c>
      <c r="S11" s="543">
        <v>201524.27</v>
      </c>
      <c r="T11" s="543">
        <v>0</v>
      </c>
      <c r="U11" s="543">
        <v>0</v>
      </c>
      <c r="V11" s="543">
        <f t="shared" ref="V11:V54" si="6">R11+S11+T11-U11</f>
        <v>2718320.32</v>
      </c>
      <c r="W11" s="513"/>
      <c r="X11" s="513"/>
      <c r="Y11" s="513"/>
      <c r="Z11" s="543">
        <f>+L11-V11</f>
        <v>598166.08000000007</v>
      </c>
      <c r="AA11" s="513"/>
      <c r="AB11" s="543">
        <v>0</v>
      </c>
      <c r="AC11" s="767"/>
    </row>
    <row r="12" spans="1:29" ht="15.75" customHeight="1">
      <c r="A12" s="764" t="s">
        <v>634</v>
      </c>
      <c r="B12" s="215">
        <v>3408068</v>
      </c>
      <c r="C12" s="215">
        <v>207000.25</v>
      </c>
      <c r="D12" s="215">
        <v>423376.42</v>
      </c>
      <c r="E12" s="215">
        <v>0</v>
      </c>
      <c r="F12" s="215">
        <v>0</v>
      </c>
      <c r="G12" s="766">
        <f>+B12+C12+E12-F12-D12</f>
        <v>3191691.83</v>
      </c>
      <c r="H12" s="215">
        <v>8600</v>
      </c>
      <c r="I12" s="981"/>
      <c r="J12" s="215"/>
      <c r="K12" s="215"/>
      <c r="L12" s="984">
        <f t="shared" si="5"/>
        <v>3200291.83</v>
      </c>
      <c r="M12" s="513"/>
      <c r="N12" s="215">
        <v>822109</v>
      </c>
      <c r="O12" s="215">
        <v>977028.02</v>
      </c>
      <c r="P12" s="215">
        <v>512223</v>
      </c>
      <c r="Q12" s="766">
        <v>0</v>
      </c>
      <c r="R12" s="215">
        <f t="shared" ref="R12:R23" si="7">+N12+O12-Q12+P12</f>
        <v>2311360.02</v>
      </c>
      <c r="S12" s="215">
        <f>325022.06-375934.7</f>
        <v>-50912.640000000014</v>
      </c>
      <c r="T12" s="215">
        <v>0</v>
      </c>
      <c r="U12" s="215">
        <v>0</v>
      </c>
      <c r="V12" s="215">
        <f t="shared" si="6"/>
        <v>2260447.38</v>
      </c>
      <c r="W12" s="513"/>
      <c r="X12" s="513"/>
      <c r="Y12" s="513"/>
      <c r="Z12" s="215">
        <f>+L12-V12</f>
        <v>939844.45000000019</v>
      </c>
      <c r="AA12" s="513"/>
      <c r="AB12" s="215">
        <v>0</v>
      </c>
      <c r="AC12" s="767"/>
    </row>
    <row r="13" spans="1:29" ht="15.75" customHeight="1">
      <c r="A13" s="764" t="s">
        <v>769</v>
      </c>
      <c r="B13" s="215">
        <v>16924.830000000002</v>
      </c>
      <c r="C13" s="215">
        <v>0</v>
      </c>
      <c r="D13" s="215"/>
      <c r="E13" s="215">
        <v>0</v>
      </c>
      <c r="F13" s="215">
        <v>0</v>
      </c>
      <c r="G13" s="766">
        <f>+B13+C13+E13-F13</f>
        <v>16924.830000000002</v>
      </c>
      <c r="H13" s="215"/>
      <c r="I13" s="981"/>
      <c r="J13" s="215"/>
      <c r="K13" s="215"/>
      <c r="L13" s="984">
        <f t="shared" si="5"/>
        <v>16924.830000000002</v>
      </c>
      <c r="M13" s="513"/>
      <c r="N13" s="215">
        <v>9067</v>
      </c>
      <c r="O13" s="215">
        <v>3196.63</v>
      </c>
      <c r="P13" s="215">
        <v>2572</v>
      </c>
      <c r="Q13" s="766">
        <v>0</v>
      </c>
      <c r="R13" s="215">
        <f t="shared" si="7"/>
        <v>14835.630000000001</v>
      </c>
      <c r="S13" s="215">
        <v>1935.02</v>
      </c>
      <c r="T13" s="215">
        <v>0</v>
      </c>
      <c r="U13" s="215">
        <v>0</v>
      </c>
      <c r="V13" s="215">
        <f t="shared" si="6"/>
        <v>16770.650000000001</v>
      </c>
      <c r="W13" s="513"/>
      <c r="X13" s="513"/>
      <c r="Y13" s="513"/>
      <c r="Z13" s="215">
        <f t="shared" ref="Z13:Z22" si="8">+L13-V13</f>
        <v>154.18000000000029</v>
      </c>
      <c r="AA13" s="513"/>
      <c r="AB13" s="215">
        <v>0</v>
      </c>
      <c r="AC13" s="767"/>
    </row>
    <row r="14" spans="1:29" ht="15.75" customHeight="1">
      <c r="A14" s="764" t="s">
        <v>770</v>
      </c>
      <c r="B14" s="215">
        <v>0</v>
      </c>
      <c r="C14" s="215">
        <v>0</v>
      </c>
      <c r="D14" s="215"/>
      <c r="E14" s="215">
        <v>0</v>
      </c>
      <c r="F14" s="215">
        <v>0</v>
      </c>
      <c r="G14" s="766">
        <f>+B14+C14+E14-F14</f>
        <v>0</v>
      </c>
      <c r="H14" s="215"/>
      <c r="I14" s="981"/>
      <c r="J14" s="215"/>
      <c r="K14" s="215"/>
      <c r="L14" s="984">
        <f t="shared" si="5"/>
        <v>0</v>
      </c>
      <c r="M14" s="513"/>
      <c r="N14" s="215">
        <v>0</v>
      </c>
      <c r="O14" s="215">
        <v>0</v>
      </c>
      <c r="P14" s="215"/>
      <c r="Q14" s="766">
        <v>0</v>
      </c>
      <c r="R14" s="215">
        <f t="shared" si="7"/>
        <v>0</v>
      </c>
      <c r="S14" s="215">
        <v>0</v>
      </c>
      <c r="T14" s="215">
        <v>0</v>
      </c>
      <c r="U14" s="215">
        <v>0</v>
      </c>
      <c r="V14" s="215">
        <f t="shared" si="6"/>
        <v>0</v>
      </c>
      <c r="W14" s="513"/>
      <c r="X14" s="513"/>
      <c r="Y14" s="513"/>
      <c r="Z14" s="215">
        <f t="shared" si="8"/>
        <v>0</v>
      </c>
      <c r="AA14" s="513"/>
      <c r="AB14" s="215">
        <v>0</v>
      </c>
      <c r="AC14" s="767"/>
    </row>
    <row r="15" spans="1:29" ht="15.75" customHeight="1">
      <c r="A15" s="764" t="s">
        <v>642</v>
      </c>
      <c r="B15" s="215">
        <v>236287</v>
      </c>
      <c r="C15" s="215">
        <v>0</v>
      </c>
      <c r="D15" s="215"/>
      <c r="E15" s="215">
        <v>0</v>
      </c>
      <c r="F15" s="215">
        <v>0</v>
      </c>
      <c r="G15" s="766">
        <f t="shared" ref="G15:G22" si="9">+B15+C15+E15-F15</f>
        <v>236287</v>
      </c>
      <c r="H15" s="215"/>
      <c r="I15" s="981"/>
      <c r="J15" s="215"/>
      <c r="K15" s="215"/>
      <c r="L15" s="984">
        <f t="shared" si="5"/>
        <v>236287</v>
      </c>
      <c r="M15" s="513"/>
      <c r="N15" s="215">
        <v>208846</v>
      </c>
      <c r="O15" s="215">
        <v>11191.47</v>
      </c>
      <c r="P15" s="215">
        <v>-53</v>
      </c>
      <c r="Q15" s="766">
        <v>0</v>
      </c>
      <c r="R15" s="215">
        <f t="shared" si="7"/>
        <v>219984.47</v>
      </c>
      <c r="S15" s="215">
        <v>9181.56</v>
      </c>
      <c r="T15" s="215">
        <v>0</v>
      </c>
      <c r="U15" s="215">
        <v>0</v>
      </c>
      <c r="V15" s="215">
        <f t="shared" si="6"/>
        <v>229166.03</v>
      </c>
      <c r="W15" s="513"/>
      <c r="X15" s="513"/>
      <c r="Y15" s="513"/>
      <c r="Z15" s="215">
        <f t="shared" si="8"/>
        <v>7120.9700000000012</v>
      </c>
      <c r="AA15" s="513"/>
      <c r="AB15" s="215">
        <v>0</v>
      </c>
      <c r="AC15" s="767"/>
    </row>
    <row r="16" spans="1:29" ht="15.75" customHeight="1">
      <c r="A16" s="764" t="s">
        <v>643</v>
      </c>
      <c r="B16" s="215">
        <v>10934</v>
      </c>
      <c r="C16" s="215">
        <v>0</v>
      </c>
      <c r="D16" s="215"/>
      <c r="E16" s="215">
        <v>0</v>
      </c>
      <c r="F16" s="215">
        <v>0</v>
      </c>
      <c r="G16" s="766">
        <f t="shared" si="9"/>
        <v>10934</v>
      </c>
      <c r="H16" s="215"/>
      <c r="I16" s="981"/>
      <c r="J16" s="215"/>
      <c r="K16" s="215"/>
      <c r="L16" s="984">
        <f t="shared" si="5"/>
        <v>10934</v>
      </c>
      <c r="M16" s="513"/>
      <c r="N16" s="215">
        <v>3062</v>
      </c>
      <c r="O16" s="215">
        <v>2185.58</v>
      </c>
      <c r="P16" s="215">
        <v>1291</v>
      </c>
      <c r="Q16" s="766">
        <v>0</v>
      </c>
      <c r="R16" s="215">
        <f t="shared" si="7"/>
        <v>6538.58</v>
      </c>
      <c r="S16" s="215">
        <v>2028.72</v>
      </c>
      <c r="T16" s="215">
        <v>0</v>
      </c>
      <c r="U16" s="215">
        <v>0</v>
      </c>
      <c r="V16" s="215">
        <f t="shared" si="6"/>
        <v>8567.2999999999993</v>
      </c>
      <c r="W16" s="513"/>
      <c r="X16" s="513"/>
      <c r="Y16" s="513"/>
      <c r="Z16" s="215">
        <f t="shared" si="8"/>
        <v>2366.7000000000007</v>
      </c>
      <c r="AA16" s="513"/>
      <c r="AB16" s="215">
        <v>0</v>
      </c>
      <c r="AC16" s="767"/>
    </row>
    <row r="17" spans="1:32" ht="15.75" customHeight="1">
      <c r="A17" s="764" t="s">
        <v>644</v>
      </c>
      <c r="B17" s="215">
        <v>29183513</v>
      </c>
      <c r="C17" s="215">
        <f>8217792.54+215723</f>
        <v>8433515.5399999991</v>
      </c>
      <c r="D17" s="215"/>
      <c r="E17" s="215">
        <v>0</v>
      </c>
      <c r="F17" s="215">
        <v>0</v>
      </c>
      <c r="G17" s="766">
        <f t="shared" si="9"/>
        <v>37617028.539999999</v>
      </c>
      <c r="H17" s="215">
        <v>6380498.5199999996</v>
      </c>
      <c r="I17" s="981">
        <f>-211414-351610.71-215723</f>
        <v>-778747.71</v>
      </c>
      <c r="J17" s="215"/>
      <c r="K17" s="215"/>
      <c r="L17" s="984">
        <f t="shared" si="5"/>
        <v>43218779.350000001</v>
      </c>
      <c r="M17" s="513"/>
      <c r="N17" s="215">
        <v>4121289</v>
      </c>
      <c r="O17" s="215">
        <v>991508.87</v>
      </c>
      <c r="P17" s="215">
        <v>-156792</v>
      </c>
      <c r="Q17" s="766">
        <v>0</v>
      </c>
      <c r="R17" s="215">
        <f t="shared" si="7"/>
        <v>4956005.87</v>
      </c>
      <c r="S17" s="215">
        <v>1273888.73</v>
      </c>
      <c r="T17" s="215">
        <v>0</v>
      </c>
      <c r="U17" s="215">
        <v>0</v>
      </c>
      <c r="V17" s="215">
        <f t="shared" si="6"/>
        <v>6229894.5999999996</v>
      </c>
      <c r="W17" s="513"/>
      <c r="X17" s="513"/>
      <c r="Y17" s="513"/>
      <c r="Z17" s="215">
        <f t="shared" si="8"/>
        <v>36988884.75</v>
      </c>
      <c r="AA17" s="513"/>
      <c r="AB17" s="215">
        <v>0</v>
      </c>
      <c r="AC17" s="767"/>
    </row>
    <row r="18" spans="1:32" ht="15.75" customHeight="1">
      <c r="A18" s="764" t="s">
        <v>823</v>
      </c>
      <c r="B18" s="215">
        <v>214686</v>
      </c>
      <c r="C18" s="215">
        <v>5874</v>
      </c>
      <c r="D18" s="215"/>
      <c r="E18" s="215">
        <v>0</v>
      </c>
      <c r="F18" s="215">
        <v>0</v>
      </c>
      <c r="G18" s="766">
        <f t="shared" si="9"/>
        <v>220560</v>
      </c>
      <c r="H18" s="215">
        <v>38120.910000000003</v>
      </c>
      <c r="I18" s="981"/>
      <c r="J18" s="215"/>
      <c r="K18" s="215"/>
      <c r="L18" s="984">
        <f t="shared" si="5"/>
        <v>258680.91</v>
      </c>
      <c r="M18" s="513"/>
      <c r="N18" s="215">
        <v>86298</v>
      </c>
      <c r="O18" s="215">
        <v>31339.48</v>
      </c>
      <c r="P18" s="215">
        <v>1370</v>
      </c>
      <c r="Q18" s="766">
        <v>0</v>
      </c>
      <c r="R18" s="215">
        <f t="shared" si="7"/>
        <v>119007.48</v>
      </c>
      <c r="S18" s="215">
        <v>34549.21</v>
      </c>
      <c r="T18" s="215">
        <v>0</v>
      </c>
      <c r="U18" s="215">
        <v>0</v>
      </c>
      <c r="V18" s="215">
        <f t="shared" si="6"/>
        <v>153556.69</v>
      </c>
      <c r="W18" s="513"/>
      <c r="X18" s="513"/>
      <c r="Y18" s="513"/>
      <c r="Z18" s="215">
        <f t="shared" si="8"/>
        <v>105124.22</v>
      </c>
      <c r="AA18" s="513"/>
      <c r="AB18" s="215">
        <v>0</v>
      </c>
      <c r="AC18" s="767"/>
    </row>
    <row r="19" spans="1:32" ht="15.75" customHeight="1">
      <c r="A19" s="764" t="s">
        <v>645</v>
      </c>
      <c r="B19" s="215">
        <v>13564907</v>
      </c>
      <c r="C19" s="215">
        <v>833489.23</v>
      </c>
      <c r="D19" s="215"/>
      <c r="E19" s="215">
        <v>0</v>
      </c>
      <c r="F19" s="215">
        <v>0</v>
      </c>
      <c r="G19" s="766">
        <f t="shared" si="9"/>
        <v>14398396.23</v>
      </c>
      <c r="H19" s="215"/>
      <c r="I19" s="981">
        <v>-54586.69</v>
      </c>
      <c r="J19" s="215"/>
      <c r="K19" s="215"/>
      <c r="L19" s="984">
        <f t="shared" si="5"/>
        <v>14343809.540000001</v>
      </c>
      <c r="M19" s="513"/>
      <c r="N19" s="215">
        <v>9349769</v>
      </c>
      <c r="O19" s="215">
        <v>740180.07</v>
      </c>
      <c r="P19" s="215">
        <v>-507758</v>
      </c>
      <c r="Q19" s="766">
        <v>0</v>
      </c>
      <c r="R19" s="215">
        <f t="shared" si="7"/>
        <v>9582191.0700000003</v>
      </c>
      <c r="S19" s="215">
        <v>805410.5</v>
      </c>
      <c r="T19" s="215">
        <v>0</v>
      </c>
      <c r="U19" s="215">
        <v>0</v>
      </c>
      <c r="V19" s="215">
        <f t="shared" si="6"/>
        <v>10387601.57</v>
      </c>
      <c r="W19" s="513"/>
      <c r="X19" s="513"/>
      <c r="Y19" s="513"/>
      <c r="Z19" s="215">
        <f t="shared" si="8"/>
        <v>3956207.9700000007</v>
      </c>
      <c r="AA19" s="513"/>
      <c r="AB19" s="215">
        <v>0</v>
      </c>
      <c r="AC19" s="767"/>
    </row>
    <row r="20" spans="1:32" ht="15.75" customHeight="1">
      <c r="A20" s="764" t="s">
        <v>331</v>
      </c>
      <c r="B20" s="215">
        <v>3850.29</v>
      </c>
      <c r="C20" s="215">
        <v>0</v>
      </c>
      <c r="D20" s="215"/>
      <c r="E20" s="215">
        <v>0</v>
      </c>
      <c r="F20" s="215">
        <v>0</v>
      </c>
      <c r="G20" s="766">
        <f t="shared" si="9"/>
        <v>3850.29</v>
      </c>
      <c r="H20" s="215"/>
      <c r="I20" s="981"/>
      <c r="J20" s="215"/>
      <c r="K20" s="215"/>
      <c r="L20" s="984">
        <f t="shared" si="5"/>
        <v>3850.29</v>
      </c>
      <c r="M20" s="513"/>
      <c r="N20" s="215">
        <v>2446</v>
      </c>
      <c r="O20" s="215">
        <v>698.86</v>
      </c>
      <c r="P20" s="215"/>
      <c r="Q20" s="766">
        <v>0</v>
      </c>
      <c r="R20" s="215">
        <f t="shared" si="7"/>
        <v>3144.86</v>
      </c>
      <c r="S20" s="215">
        <v>664.66</v>
      </c>
      <c r="T20" s="215">
        <v>0</v>
      </c>
      <c r="U20" s="215">
        <v>0</v>
      </c>
      <c r="V20" s="215">
        <f t="shared" si="6"/>
        <v>3809.52</v>
      </c>
      <c r="W20" s="513"/>
      <c r="X20" s="513"/>
      <c r="Y20" s="513"/>
      <c r="Z20" s="215">
        <f t="shared" si="8"/>
        <v>40.769999999999982</v>
      </c>
      <c r="AA20" s="513"/>
      <c r="AB20" s="215">
        <v>0</v>
      </c>
      <c r="AC20" s="767"/>
    </row>
    <row r="21" spans="1:32" ht="15.75" customHeight="1">
      <c r="A21" s="764" t="s">
        <v>491</v>
      </c>
      <c r="B21" s="215">
        <v>394027</v>
      </c>
      <c r="C21" s="215">
        <v>0</v>
      </c>
      <c r="D21" s="215"/>
      <c r="E21" s="215">
        <v>0</v>
      </c>
      <c r="F21" s="215">
        <v>0</v>
      </c>
      <c r="G21" s="766">
        <f t="shared" si="9"/>
        <v>394027</v>
      </c>
      <c r="H21" s="215"/>
      <c r="I21" s="981"/>
      <c r="J21" s="215"/>
      <c r="K21" s="215"/>
      <c r="L21" s="984">
        <f t="shared" si="5"/>
        <v>394027</v>
      </c>
      <c r="M21" s="513"/>
      <c r="N21" s="215">
        <v>250334</v>
      </c>
      <c r="O21" s="215">
        <v>48423.97</v>
      </c>
      <c r="P21" s="215">
        <v>6396</v>
      </c>
      <c r="Q21" s="766">
        <v>0</v>
      </c>
      <c r="R21" s="215">
        <f t="shared" si="7"/>
        <v>305153.96999999997</v>
      </c>
      <c r="S21" s="215">
        <v>47512.68</v>
      </c>
      <c r="T21" s="215">
        <v>0</v>
      </c>
      <c r="U21" s="215">
        <v>0</v>
      </c>
      <c r="V21" s="215">
        <f t="shared" si="6"/>
        <v>352666.64999999997</v>
      </c>
      <c r="W21" s="513"/>
      <c r="X21" s="513"/>
      <c r="Y21" s="513"/>
      <c r="Z21" s="215">
        <f t="shared" si="8"/>
        <v>41360.350000000035</v>
      </c>
      <c r="AA21" s="513"/>
      <c r="AB21" s="215">
        <v>0</v>
      </c>
      <c r="AC21" s="767"/>
    </row>
    <row r="22" spans="1:32" ht="15.75" customHeight="1">
      <c r="A22" s="764" t="s">
        <v>332</v>
      </c>
      <c r="B22" s="215">
        <v>1014025.24</v>
      </c>
      <c r="C22" s="215">
        <v>0</v>
      </c>
      <c r="D22" s="215"/>
      <c r="E22" s="215">
        <v>0</v>
      </c>
      <c r="F22" s="215">
        <v>0</v>
      </c>
      <c r="G22" s="766">
        <f t="shared" si="9"/>
        <v>1014025.24</v>
      </c>
      <c r="H22" s="215"/>
      <c r="I22" s="981">
        <v>-132202.51</v>
      </c>
      <c r="J22" s="215"/>
      <c r="K22" s="215"/>
      <c r="L22" s="984">
        <f t="shared" si="5"/>
        <v>881822.73</v>
      </c>
      <c r="M22" s="513"/>
      <c r="N22" s="215">
        <v>872504</v>
      </c>
      <c r="O22" s="215">
        <v>50557.57</v>
      </c>
      <c r="P22" s="215">
        <v>-817</v>
      </c>
      <c r="Q22" s="766">
        <v>0</v>
      </c>
      <c r="R22" s="215">
        <f t="shared" si="7"/>
        <v>922244.57</v>
      </c>
      <c r="S22" s="215">
        <v>40200.49</v>
      </c>
      <c r="T22" s="215">
        <v>0</v>
      </c>
      <c r="U22" s="215">
        <v>0</v>
      </c>
      <c r="V22" s="215">
        <f t="shared" si="6"/>
        <v>962445.05999999994</v>
      </c>
      <c r="W22" s="513"/>
      <c r="X22" s="513"/>
      <c r="Y22" s="513"/>
      <c r="Z22" s="215">
        <f t="shared" si="8"/>
        <v>-80622.329999999958</v>
      </c>
      <c r="AA22" s="513"/>
      <c r="AB22" s="215">
        <v>0</v>
      </c>
      <c r="AC22" s="767"/>
    </row>
    <row r="23" spans="1:32" ht="15.75" customHeight="1">
      <c r="A23" s="764" t="s">
        <v>771</v>
      </c>
      <c r="B23" s="545">
        <v>0</v>
      </c>
      <c r="C23" s="545">
        <v>0</v>
      </c>
      <c r="D23" s="545"/>
      <c r="E23" s="545">
        <v>0</v>
      </c>
      <c r="F23" s="545">
        <v>0</v>
      </c>
      <c r="G23" s="768">
        <f>+B23+C23+E23-F23</f>
        <v>0</v>
      </c>
      <c r="H23" s="545"/>
      <c r="I23" s="987"/>
      <c r="J23" s="545"/>
      <c r="K23" s="545"/>
      <c r="L23" s="990">
        <f t="shared" si="5"/>
        <v>0</v>
      </c>
      <c r="M23" s="513"/>
      <c r="N23" s="545">
        <v>0</v>
      </c>
      <c r="O23" s="545">
        <v>0</v>
      </c>
      <c r="P23" s="545"/>
      <c r="Q23" s="768">
        <v>0</v>
      </c>
      <c r="R23" s="545">
        <f t="shared" si="7"/>
        <v>0</v>
      </c>
      <c r="S23" s="545">
        <v>0</v>
      </c>
      <c r="T23" s="545"/>
      <c r="U23" s="545">
        <v>0</v>
      </c>
      <c r="V23" s="545">
        <f t="shared" si="6"/>
        <v>0</v>
      </c>
      <c r="W23" s="671"/>
      <c r="X23" s="671"/>
      <c r="Y23" s="671"/>
      <c r="Z23" s="545">
        <f>+G23-R23</f>
        <v>0</v>
      </c>
      <c r="AA23" s="513"/>
      <c r="AB23" s="545">
        <v>0</v>
      </c>
      <c r="AC23" s="767"/>
    </row>
    <row r="24" spans="1:32" ht="25.5">
      <c r="A24" s="194" t="s">
        <v>772</v>
      </c>
      <c r="B24" s="149">
        <f>B25</f>
        <v>46146134</v>
      </c>
      <c r="C24" s="149">
        <f>C25</f>
        <v>565000</v>
      </c>
      <c r="D24" s="149"/>
      <c r="E24" s="149">
        <f>E25</f>
        <v>0</v>
      </c>
      <c r="F24" s="149">
        <f>F25</f>
        <v>4626370</v>
      </c>
      <c r="G24" s="149">
        <f>G25</f>
        <v>42084764</v>
      </c>
      <c r="H24" s="149">
        <f t="shared" ref="H24:L24" si="10">H25</f>
        <v>158500</v>
      </c>
      <c r="I24" s="771">
        <f t="shared" si="10"/>
        <v>0</v>
      </c>
      <c r="J24" s="149">
        <f t="shared" si="10"/>
        <v>0</v>
      </c>
      <c r="K24" s="149">
        <f t="shared" si="10"/>
        <v>23630</v>
      </c>
      <c r="L24" s="771">
        <f t="shared" si="10"/>
        <v>42219634</v>
      </c>
      <c r="M24" s="149"/>
      <c r="N24" s="149">
        <f>N25</f>
        <v>62244</v>
      </c>
      <c r="O24" s="149">
        <f>O25</f>
        <v>62244.36</v>
      </c>
      <c r="P24" s="149">
        <f>SUM(P25:P26)</f>
        <v>-35</v>
      </c>
      <c r="Q24" s="149">
        <f>Q25</f>
        <v>0</v>
      </c>
      <c r="R24" s="149">
        <f>R25</f>
        <v>124453.36</v>
      </c>
      <c r="S24" s="149">
        <f>S25</f>
        <v>0</v>
      </c>
      <c r="T24" s="149">
        <f>SUM(T25:T26)</f>
        <v>0</v>
      </c>
      <c r="U24" s="149">
        <f t="shared" ref="U24:V24" si="11">SUM(U25:U26)</f>
        <v>0</v>
      </c>
      <c r="V24" s="149">
        <f t="shared" si="11"/>
        <v>124453.36</v>
      </c>
      <c r="W24" s="156"/>
      <c r="X24" s="156"/>
      <c r="Y24" s="156"/>
      <c r="Z24" s="149">
        <f>Z25</f>
        <v>42095180.640000001</v>
      </c>
      <c r="AA24" s="149"/>
      <c r="AB24" s="149">
        <f>AB25</f>
        <v>0</v>
      </c>
      <c r="AC24" s="196"/>
    </row>
    <row r="25" spans="1:32">
      <c r="A25" s="764" t="s">
        <v>646</v>
      </c>
      <c r="B25" s="543">
        <v>46146134</v>
      </c>
      <c r="C25" s="543">
        <f>4483000-3700000-218000</f>
        <v>565000</v>
      </c>
      <c r="D25" s="543"/>
      <c r="E25" s="543">
        <v>0</v>
      </c>
      <c r="F25" s="543">
        <f>4626370</f>
        <v>4626370</v>
      </c>
      <c r="G25" s="765">
        <f>+B25+C25+E25-F25</f>
        <v>42084764</v>
      </c>
      <c r="H25" s="543">
        <v>158500</v>
      </c>
      <c r="I25" s="977"/>
      <c r="J25" s="543"/>
      <c r="K25" s="543">
        <v>23630</v>
      </c>
      <c r="L25" s="980">
        <f t="shared" si="5"/>
        <v>42219634</v>
      </c>
      <c r="M25" s="513"/>
      <c r="N25" s="543">
        <v>62244</v>
      </c>
      <c r="O25" s="543">
        <v>62244.36</v>
      </c>
      <c r="P25" s="543">
        <v>-35</v>
      </c>
      <c r="Q25" s="543">
        <v>0</v>
      </c>
      <c r="R25" s="543">
        <f>+N25+O25-Q25+P25</f>
        <v>124453.36</v>
      </c>
      <c r="S25" s="543">
        <v>0</v>
      </c>
      <c r="T25" s="543">
        <v>0</v>
      </c>
      <c r="U25" s="765">
        <v>0</v>
      </c>
      <c r="V25" s="543">
        <f t="shared" si="6"/>
        <v>124453.36</v>
      </c>
      <c r="W25" s="513"/>
      <c r="X25" s="513"/>
      <c r="Y25" s="513"/>
      <c r="Z25" s="543">
        <f>+L25-V25</f>
        <v>42095180.640000001</v>
      </c>
      <c r="AA25" s="513"/>
      <c r="AB25" s="543">
        <v>0</v>
      </c>
      <c r="AC25" s="767"/>
      <c r="AD25" s="312"/>
    </row>
    <row r="26" spans="1:32" ht="25.5">
      <c r="A26" s="764" t="s">
        <v>773</v>
      </c>
      <c r="B26" s="545">
        <v>0</v>
      </c>
      <c r="C26" s="545">
        <v>0</v>
      </c>
      <c r="D26" s="545"/>
      <c r="E26" s="545">
        <v>0</v>
      </c>
      <c r="F26" s="545">
        <v>0</v>
      </c>
      <c r="G26" s="768">
        <f>+B26+C26+E26-F26</f>
        <v>0</v>
      </c>
      <c r="H26" s="459">
        <f t="shared" ref="H26:L26" si="12">SUM(H27:H29)</f>
        <v>0</v>
      </c>
      <c r="I26" s="1573">
        <f t="shared" si="12"/>
        <v>0</v>
      </c>
      <c r="J26" s="459">
        <f t="shared" si="12"/>
        <v>0</v>
      </c>
      <c r="K26" s="459">
        <f t="shared" si="12"/>
        <v>0</v>
      </c>
      <c r="L26" s="991">
        <f t="shared" si="12"/>
        <v>0</v>
      </c>
      <c r="M26" s="513"/>
      <c r="N26" s="545">
        <v>0</v>
      </c>
      <c r="O26" s="545">
        <v>0</v>
      </c>
      <c r="P26" s="545"/>
      <c r="Q26" s="545">
        <v>0</v>
      </c>
      <c r="R26" s="545">
        <f>+N26+O26-Q26</f>
        <v>0</v>
      </c>
      <c r="S26" s="545">
        <v>0</v>
      </c>
      <c r="T26" s="545"/>
      <c r="U26" s="768">
        <v>0</v>
      </c>
      <c r="V26" s="545">
        <f t="shared" si="6"/>
        <v>0</v>
      </c>
      <c r="W26" s="513"/>
      <c r="X26" s="513"/>
      <c r="Y26" s="513"/>
      <c r="Z26" s="545">
        <f>+L26-V26</f>
        <v>0</v>
      </c>
      <c r="AA26" s="513"/>
      <c r="AB26" s="545">
        <v>0</v>
      </c>
      <c r="AC26" s="767"/>
    </row>
    <row r="27" spans="1:32" ht="22.5" customHeight="1">
      <c r="A27" s="194" t="s">
        <v>774</v>
      </c>
      <c r="B27" s="149">
        <f>SUM(B28:B30)</f>
        <v>0</v>
      </c>
      <c r="C27" s="149">
        <f>SUM(C28:C30)</f>
        <v>0</v>
      </c>
      <c r="D27" s="149"/>
      <c r="E27" s="149">
        <f>SUM(E28:E30)</f>
        <v>0</v>
      </c>
      <c r="F27" s="149">
        <f>SUM(F28:F30)</f>
        <v>0</v>
      </c>
      <c r="G27" s="149">
        <f>SUM(G28:G30)</f>
        <v>0</v>
      </c>
      <c r="H27" s="149">
        <f t="shared" ref="H27:L27" si="13">SUM(H28:H30)</f>
        <v>0</v>
      </c>
      <c r="I27" s="771">
        <f t="shared" si="13"/>
        <v>0</v>
      </c>
      <c r="J27" s="149">
        <f t="shared" si="13"/>
        <v>0</v>
      </c>
      <c r="K27" s="149">
        <f t="shared" si="13"/>
        <v>0</v>
      </c>
      <c r="L27" s="771">
        <f t="shared" si="13"/>
        <v>0</v>
      </c>
      <c r="M27" s="149"/>
      <c r="N27" s="149">
        <f t="shared" ref="N27:Z27" si="14">SUM(N28:N30)</f>
        <v>0</v>
      </c>
      <c r="O27" s="149">
        <f t="shared" si="14"/>
        <v>0</v>
      </c>
      <c r="P27" s="149"/>
      <c r="Q27" s="149">
        <f>SUM(Q28:Q30)</f>
        <v>0</v>
      </c>
      <c r="R27" s="149">
        <f t="shared" si="14"/>
        <v>0</v>
      </c>
      <c r="S27" s="149">
        <f t="shared" si="14"/>
        <v>0</v>
      </c>
      <c r="T27" s="149">
        <f t="shared" si="14"/>
        <v>0</v>
      </c>
      <c r="U27" s="149">
        <f t="shared" si="14"/>
        <v>0</v>
      </c>
      <c r="V27" s="149">
        <f t="shared" si="14"/>
        <v>0</v>
      </c>
      <c r="W27" s="149"/>
      <c r="X27" s="149"/>
      <c r="Y27" s="149"/>
      <c r="Z27" s="149">
        <f t="shared" si="14"/>
        <v>0</v>
      </c>
      <c r="AA27" s="149"/>
      <c r="AB27" s="149">
        <f>SUM(AB28:AB30)</f>
        <v>0</v>
      </c>
      <c r="AC27" s="196"/>
    </row>
    <row r="28" spans="1:32" ht="25.5">
      <c r="A28" s="764" t="s">
        <v>775</v>
      </c>
      <c r="B28" s="543">
        <v>0</v>
      </c>
      <c r="C28" s="543">
        <v>0</v>
      </c>
      <c r="D28" s="543"/>
      <c r="E28" s="543">
        <v>0</v>
      </c>
      <c r="F28" s="543">
        <v>0</v>
      </c>
      <c r="G28" s="765">
        <f>+B28+C28+E28-F28</f>
        <v>0</v>
      </c>
      <c r="H28" s="543"/>
      <c r="I28" s="977"/>
      <c r="J28" s="543"/>
      <c r="K28" s="543"/>
      <c r="L28" s="980">
        <f t="shared" si="5"/>
        <v>0</v>
      </c>
      <c r="M28" s="513"/>
      <c r="N28" s="543">
        <v>0</v>
      </c>
      <c r="O28" s="543">
        <v>0</v>
      </c>
      <c r="P28" s="543"/>
      <c r="Q28" s="543">
        <v>0</v>
      </c>
      <c r="R28" s="543">
        <f>+N28+O28-Q28</f>
        <v>0</v>
      </c>
      <c r="S28" s="543">
        <v>0</v>
      </c>
      <c r="T28" s="543"/>
      <c r="U28" s="543">
        <v>0</v>
      </c>
      <c r="V28" s="543">
        <f t="shared" si="6"/>
        <v>0</v>
      </c>
      <c r="W28" s="513"/>
      <c r="X28" s="513"/>
      <c r="Y28" s="513"/>
      <c r="Z28" s="543">
        <f>+L28-V28</f>
        <v>0</v>
      </c>
      <c r="AA28" s="513"/>
      <c r="AB28" s="543">
        <v>0</v>
      </c>
      <c r="AC28" s="767"/>
    </row>
    <row r="29" spans="1:32">
      <c r="A29" s="764" t="s">
        <v>776</v>
      </c>
      <c r="B29" s="215">
        <v>0</v>
      </c>
      <c r="C29" s="215">
        <v>0</v>
      </c>
      <c r="D29" s="215"/>
      <c r="E29" s="215">
        <v>0</v>
      </c>
      <c r="F29" s="215">
        <v>0</v>
      </c>
      <c r="G29" s="766">
        <f>+B29+C29+E29-F29</f>
        <v>0</v>
      </c>
      <c r="H29" s="215"/>
      <c r="I29" s="981"/>
      <c r="J29" s="215"/>
      <c r="K29" s="215"/>
      <c r="L29" s="984">
        <f t="shared" si="5"/>
        <v>0</v>
      </c>
      <c r="M29" s="513"/>
      <c r="N29" s="215">
        <v>0</v>
      </c>
      <c r="O29" s="215">
        <v>0</v>
      </c>
      <c r="P29" s="215"/>
      <c r="Q29" s="215">
        <v>0</v>
      </c>
      <c r="R29" s="215">
        <f>+N29+O29-Q29</f>
        <v>0</v>
      </c>
      <c r="S29" s="215">
        <v>0</v>
      </c>
      <c r="T29" s="215"/>
      <c r="U29" s="215">
        <v>0</v>
      </c>
      <c r="V29" s="215">
        <f t="shared" si="6"/>
        <v>0</v>
      </c>
      <c r="W29" s="513"/>
      <c r="X29" s="513"/>
      <c r="Y29" s="513"/>
      <c r="Z29" s="215">
        <f>+L29-V29</f>
        <v>0</v>
      </c>
      <c r="AA29" s="513"/>
      <c r="AB29" s="215">
        <v>0</v>
      </c>
      <c r="AC29" s="767"/>
      <c r="AF29" s="313">
        <f>109+4274+141</f>
        <v>4524</v>
      </c>
    </row>
    <row r="30" spans="1:32">
      <c r="A30" s="764" t="s">
        <v>777</v>
      </c>
      <c r="B30" s="545">
        <v>0</v>
      </c>
      <c r="C30" s="545">
        <v>0</v>
      </c>
      <c r="D30" s="545"/>
      <c r="E30" s="545">
        <v>0</v>
      </c>
      <c r="F30" s="545">
        <v>0</v>
      </c>
      <c r="G30" s="768">
        <f>+B30+C30+E30-F30</f>
        <v>0</v>
      </c>
      <c r="H30" s="545"/>
      <c r="I30" s="987"/>
      <c r="J30" s="545"/>
      <c r="K30" s="545"/>
      <c r="L30" s="990">
        <f t="shared" si="5"/>
        <v>0</v>
      </c>
      <c r="M30" s="513"/>
      <c r="N30" s="545">
        <v>0</v>
      </c>
      <c r="O30" s="545">
        <v>0</v>
      </c>
      <c r="P30" s="545"/>
      <c r="Q30" s="545">
        <v>0</v>
      </c>
      <c r="R30" s="545">
        <f>+N30+O30-Q30</f>
        <v>0</v>
      </c>
      <c r="S30" s="545">
        <v>0</v>
      </c>
      <c r="T30" s="545"/>
      <c r="U30" s="545">
        <v>0</v>
      </c>
      <c r="V30" s="545">
        <f t="shared" si="6"/>
        <v>0</v>
      </c>
      <c r="W30" s="513"/>
      <c r="X30" s="513"/>
      <c r="Y30" s="513"/>
      <c r="Z30" s="545">
        <f>+L30-V30</f>
        <v>0</v>
      </c>
      <c r="AA30" s="513"/>
      <c r="AB30" s="545">
        <v>0</v>
      </c>
      <c r="AC30" s="767"/>
    </row>
    <row r="31" spans="1:32">
      <c r="A31" s="194" t="s">
        <v>778</v>
      </c>
      <c r="B31" s="149">
        <f>SUM(B32:B34)</f>
        <v>170728</v>
      </c>
      <c r="C31" s="149">
        <f>SUM(C32:C34)</f>
        <v>0</v>
      </c>
      <c r="D31" s="149"/>
      <c r="E31" s="149">
        <f>SUM(E32:E34)</f>
        <v>0</v>
      </c>
      <c r="F31" s="149">
        <f>SUM(F32:F34)</f>
        <v>8631.94</v>
      </c>
      <c r="G31" s="149">
        <f>SUM(G32:G34)</f>
        <v>162096.06</v>
      </c>
      <c r="H31" s="149">
        <f t="shared" ref="H31:L31" si="15">SUM(H32:H34)</f>
        <v>0</v>
      </c>
      <c r="I31" s="771">
        <f t="shared" si="15"/>
        <v>0</v>
      </c>
      <c r="J31" s="149">
        <f t="shared" si="15"/>
        <v>0</v>
      </c>
      <c r="K31" s="149">
        <f t="shared" si="15"/>
        <v>0</v>
      </c>
      <c r="L31" s="771">
        <f t="shared" si="15"/>
        <v>162096.06</v>
      </c>
      <c r="M31" s="149"/>
      <c r="N31" s="149">
        <f t="shared" ref="N31:V31" si="16">SUM(N32:N34)</f>
        <v>124436</v>
      </c>
      <c r="O31" s="149">
        <f t="shared" si="16"/>
        <v>16253.11</v>
      </c>
      <c r="P31" s="149">
        <f t="shared" si="16"/>
        <v>1523</v>
      </c>
      <c r="Q31" s="149">
        <f t="shared" si="16"/>
        <v>4321.21</v>
      </c>
      <c r="R31" s="149">
        <f t="shared" si="16"/>
        <v>137890.9</v>
      </c>
      <c r="S31" s="149">
        <f t="shared" si="16"/>
        <v>14425.27</v>
      </c>
      <c r="T31" s="149">
        <f t="shared" si="16"/>
        <v>0</v>
      </c>
      <c r="U31" s="149">
        <f t="shared" si="16"/>
        <v>0</v>
      </c>
      <c r="V31" s="149">
        <f t="shared" si="16"/>
        <v>152316.16999999998</v>
      </c>
      <c r="W31" s="149"/>
      <c r="X31" s="149"/>
      <c r="Y31" s="149"/>
      <c r="Z31" s="149">
        <f>SUM(Z32:Z34)</f>
        <v>9779.890000000014</v>
      </c>
      <c r="AA31" s="149"/>
      <c r="AB31" s="149">
        <f>SUM(AB32:AB34)</f>
        <v>0</v>
      </c>
      <c r="AC31" s="196"/>
    </row>
    <row r="32" spans="1:32">
      <c r="A32" s="764" t="s">
        <v>523</v>
      </c>
      <c r="B32" s="543">
        <v>0</v>
      </c>
      <c r="C32" s="543">
        <v>0</v>
      </c>
      <c r="D32" s="543"/>
      <c r="E32" s="543">
        <v>0</v>
      </c>
      <c r="F32" s="543">
        <v>0</v>
      </c>
      <c r="G32" s="765">
        <f>+B32+C32+E32-F32</f>
        <v>0</v>
      </c>
      <c r="H32" s="543"/>
      <c r="I32" s="977"/>
      <c r="J32" s="543"/>
      <c r="K32" s="543"/>
      <c r="L32" s="980">
        <f t="shared" si="5"/>
        <v>0</v>
      </c>
      <c r="M32" s="513"/>
      <c r="N32" s="543">
        <v>0</v>
      </c>
      <c r="O32" s="543">
        <v>0</v>
      </c>
      <c r="P32" s="543"/>
      <c r="Q32" s="543">
        <v>0</v>
      </c>
      <c r="R32" s="543">
        <f>+N32+O32-Q32</f>
        <v>0</v>
      </c>
      <c r="S32" s="543">
        <v>0</v>
      </c>
      <c r="T32" s="543"/>
      <c r="U32" s="543">
        <v>0</v>
      </c>
      <c r="V32" s="543">
        <f t="shared" si="6"/>
        <v>0</v>
      </c>
      <c r="W32" s="513"/>
      <c r="X32" s="513"/>
      <c r="Y32" s="513"/>
      <c r="Z32" s="543">
        <f>+L32-V32</f>
        <v>0</v>
      </c>
      <c r="AA32" s="513"/>
      <c r="AB32" s="543">
        <v>0</v>
      </c>
      <c r="AC32" s="767"/>
    </row>
    <row r="33" spans="1:29">
      <c r="A33" s="764" t="s">
        <v>647</v>
      </c>
      <c r="B33" s="215">
        <v>82930</v>
      </c>
      <c r="C33" s="215">
        <v>0</v>
      </c>
      <c r="D33" s="215"/>
      <c r="E33" s="215">
        <v>0</v>
      </c>
      <c r="F33" s="215">
        <v>0</v>
      </c>
      <c r="G33" s="766">
        <f>+B33+C33+E33-F33</f>
        <v>82930</v>
      </c>
      <c r="H33" s="215"/>
      <c r="I33" s="981"/>
      <c r="J33" s="215"/>
      <c r="K33" s="215"/>
      <c r="L33" s="984">
        <f t="shared" si="5"/>
        <v>82930</v>
      </c>
      <c r="M33" s="513"/>
      <c r="N33" s="215">
        <v>61950</v>
      </c>
      <c r="O33" s="215">
        <v>7280.8</v>
      </c>
      <c r="P33" s="215">
        <v>1523</v>
      </c>
      <c r="Q33" s="215">
        <v>0</v>
      </c>
      <c r="R33" s="215">
        <f>+N33+O33-Q33+P33</f>
        <v>70753.8</v>
      </c>
      <c r="S33" s="215">
        <v>6722.15</v>
      </c>
      <c r="T33" s="215">
        <v>0</v>
      </c>
      <c r="U33" s="215">
        <v>0</v>
      </c>
      <c r="V33" s="215">
        <f t="shared" si="6"/>
        <v>77475.95</v>
      </c>
      <c r="W33" s="513"/>
      <c r="X33" s="513"/>
      <c r="Y33" s="513"/>
      <c r="Z33" s="215">
        <f>+L33-V33</f>
        <v>5454.0500000000029</v>
      </c>
      <c r="AA33" s="513"/>
      <c r="AB33" s="215">
        <v>0</v>
      </c>
      <c r="AC33" s="767"/>
    </row>
    <row r="34" spans="1:29">
      <c r="A34" s="764" t="s">
        <v>806</v>
      </c>
      <c r="B34" s="545">
        <v>87798</v>
      </c>
      <c r="C34" s="545">
        <v>0</v>
      </c>
      <c r="D34" s="545"/>
      <c r="E34" s="545">
        <v>0</v>
      </c>
      <c r="F34" s="545">
        <v>8631.94</v>
      </c>
      <c r="G34" s="768">
        <f>+B34+C34+E34-F34</f>
        <v>79166.06</v>
      </c>
      <c r="H34" s="545"/>
      <c r="I34" s="987"/>
      <c r="J34" s="545"/>
      <c r="K34" s="545"/>
      <c r="L34" s="990">
        <f t="shared" si="5"/>
        <v>79166.06</v>
      </c>
      <c r="M34" s="513"/>
      <c r="N34" s="545">
        <v>62486</v>
      </c>
      <c r="O34" s="545">
        <v>8972.31</v>
      </c>
      <c r="P34" s="545"/>
      <c r="Q34" s="545">
        <v>4321.21</v>
      </c>
      <c r="R34" s="545">
        <f>+N34+O34-Q34+P34</f>
        <v>67137.099999999991</v>
      </c>
      <c r="S34" s="545">
        <v>7703.12</v>
      </c>
      <c r="T34" s="545">
        <v>0</v>
      </c>
      <c r="U34" s="545">
        <v>0</v>
      </c>
      <c r="V34" s="545">
        <f t="shared" si="6"/>
        <v>74840.219999999987</v>
      </c>
      <c r="W34" s="513"/>
      <c r="X34" s="513"/>
      <c r="Y34" s="513"/>
      <c r="Z34" s="545">
        <f>+L34-V34</f>
        <v>4325.8400000000111</v>
      </c>
      <c r="AA34" s="513"/>
      <c r="AB34" s="545">
        <v>0</v>
      </c>
      <c r="AC34" s="767"/>
    </row>
    <row r="35" spans="1:29" ht="25.5">
      <c r="A35" s="194" t="s">
        <v>779</v>
      </c>
      <c r="B35" s="149">
        <f>SUM(B36:B39)</f>
        <v>238340.59999999998</v>
      </c>
      <c r="C35" s="149">
        <f>SUM(C36:C39)</f>
        <v>0</v>
      </c>
      <c r="D35" s="149"/>
      <c r="E35" s="149">
        <f>SUM(E36:E39)</f>
        <v>0</v>
      </c>
      <c r="F35" s="149">
        <f>SUM(F36:F39)</f>
        <v>0</v>
      </c>
      <c r="G35" s="149">
        <f>SUM(G36:G39)</f>
        <v>238340.59999999998</v>
      </c>
      <c r="H35" s="149">
        <f t="shared" ref="H35:L35" si="17">SUM(H36:H39)</f>
        <v>0</v>
      </c>
      <c r="I35" s="771">
        <f t="shared" si="17"/>
        <v>0</v>
      </c>
      <c r="J35" s="149">
        <f t="shared" si="17"/>
        <v>0</v>
      </c>
      <c r="K35" s="149">
        <f t="shared" si="17"/>
        <v>0</v>
      </c>
      <c r="L35" s="771">
        <f t="shared" si="17"/>
        <v>238340.59999999998</v>
      </c>
      <c r="M35" s="149"/>
      <c r="N35" s="149">
        <f t="shared" ref="N35:S35" si="18">SUM(N36:N39)</f>
        <v>193980</v>
      </c>
      <c r="O35" s="149">
        <f t="shared" si="18"/>
        <v>18357.870000000003</v>
      </c>
      <c r="P35" s="149">
        <f t="shared" si="18"/>
        <v>0</v>
      </c>
      <c r="Q35" s="149">
        <f t="shared" si="18"/>
        <v>0</v>
      </c>
      <c r="R35" s="149">
        <f t="shared" si="18"/>
        <v>212337.87</v>
      </c>
      <c r="S35" s="149">
        <f t="shared" si="18"/>
        <v>17544.27</v>
      </c>
      <c r="T35" s="149">
        <f t="shared" ref="T35:V35" si="19">SUM(T36:T39)</f>
        <v>0</v>
      </c>
      <c r="U35" s="149">
        <f t="shared" si="19"/>
        <v>0</v>
      </c>
      <c r="V35" s="149">
        <f t="shared" si="19"/>
        <v>229882.13999999998</v>
      </c>
      <c r="W35" s="149"/>
      <c r="X35" s="149"/>
      <c r="Y35" s="149"/>
      <c r="Z35" s="149">
        <f>SUM(Z36:Z39)</f>
        <v>8458.4600000000137</v>
      </c>
      <c r="AA35" s="149"/>
      <c r="AB35" s="149">
        <f>SUM(AB36:AB39)</f>
        <v>0</v>
      </c>
      <c r="AC35" s="196"/>
    </row>
    <row r="36" spans="1:29">
      <c r="A36" s="764" t="s">
        <v>780</v>
      </c>
      <c r="B36" s="543">
        <v>111503</v>
      </c>
      <c r="C36" s="543">
        <v>0</v>
      </c>
      <c r="D36" s="543"/>
      <c r="E36" s="543">
        <v>0</v>
      </c>
      <c r="F36" s="543">
        <v>0</v>
      </c>
      <c r="G36" s="765">
        <f>+B36+C36+E36-F36</f>
        <v>111503</v>
      </c>
      <c r="H36" s="543"/>
      <c r="I36" s="977"/>
      <c r="J36" s="543"/>
      <c r="K36" s="543"/>
      <c r="L36" s="980">
        <f t="shared" si="5"/>
        <v>111503</v>
      </c>
      <c r="M36" s="513"/>
      <c r="N36" s="543">
        <v>79894</v>
      </c>
      <c r="O36" s="543">
        <v>12756.95</v>
      </c>
      <c r="P36" s="543"/>
      <c r="Q36" s="765">
        <v>0</v>
      </c>
      <c r="R36" s="543">
        <f>+N36+O36-Q36+P36</f>
        <v>92650.95</v>
      </c>
      <c r="S36" s="543">
        <v>12309.92</v>
      </c>
      <c r="T36" s="543"/>
      <c r="U36" s="765">
        <v>0</v>
      </c>
      <c r="V36" s="543">
        <f t="shared" si="6"/>
        <v>104960.87</v>
      </c>
      <c r="W36" s="513"/>
      <c r="X36" s="513"/>
      <c r="Y36" s="513"/>
      <c r="Z36" s="543">
        <f>+L36-V36</f>
        <v>6542.1300000000047</v>
      </c>
      <c r="AA36" s="513"/>
      <c r="AB36" s="543">
        <v>0</v>
      </c>
      <c r="AC36" s="767"/>
    </row>
    <row r="37" spans="1:29" ht="25.5">
      <c r="A37" s="764" t="s">
        <v>781</v>
      </c>
      <c r="B37" s="215">
        <v>0</v>
      </c>
      <c r="C37" s="215">
        <v>0</v>
      </c>
      <c r="D37" s="215"/>
      <c r="E37" s="215">
        <v>0</v>
      </c>
      <c r="F37" s="215">
        <v>0</v>
      </c>
      <c r="G37" s="766">
        <f>+B37+C37+E37-F37</f>
        <v>0</v>
      </c>
      <c r="H37" s="215"/>
      <c r="I37" s="981"/>
      <c r="J37" s="215"/>
      <c r="K37" s="215"/>
      <c r="L37" s="984">
        <f t="shared" si="5"/>
        <v>0</v>
      </c>
      <c r="M37" s="513"/>
      <c r="N37" s="215">
        <v>0</v>
      </c>
      <c r="O37" s="215">
        <v>0</v>
      </c>
      <c r="P37" s="215"/>
      <c r="Q37" s="766">
        <v>0</v>
      </c>
      <c r="R37" s="215">
        <f>+N37+O37-Q37+P37</f>
        <v>0</v>
      </c>
      <c r="S37" s="215">
        <v>0</v>
      </c>
      <c r="T37" s="215"/>
      <c r="U37" s="766">
        <v>0</v>
      </c>
      <c r="V37" s="215">
        <f t="shared" si="6"/>
        <v>0</v>
      </c>
      <c r="W37" s="513"/>
      <c r="X37" s="513"/>
      <c r="Y37" s="513"/>
      <c r="Z37" s="215">
        <f>+L37-V37</f>
        <v>0</v>
      </c>
      <c r="AA37" s="513"/>
      <c r="AB37" s="215">
        <v>0</v>
      </c>
      <c r="AC37" s="767"/>
    </row>
    <row r="38" spans="1:29">
      <c r="A38" s="764" t="s">
        <v>329</v>
      </c>
      <c r="B38" s="215">
        <v>31412.61</v>
      </c>
      <c r="C38" s="215">
        <v>0</v>
      </c>
      <c r="D38" s="215"/>
      <c r="E38" s="215">
        <v>0</v>
      </c>
      <c r="F38" s="215">
        <v>0</v>
      </c>
      <c r="G38" s="766">
        <f>+B38+C38+E38-F38</f>
        <v>31412.61</v>
      </c>
      <c r="H38" s="215"/>
      <c r="I38" s="981"/>
      <c r="J38" s="215"/>
      <c r="K38" s="215"/>
      <c r="L38" s="984">
        <f t="shared" si="5"/>
        <v>31412.61</v>
      </c>
      <c r="M38" s="513"/>
      <c r="N38" s="215">
        <v>18661</v>
      </c>
      <c r="O38" s="215">
        <v>5600.92</v>
      </c>
      <c r="P38" s="215"/>
      <c r="Q38" s="766">
        <v>0</v>
      </c>
      <c r="R38" s="215">
        <f>+N38+O38-Q38+P38</f>
        <v>24261.919999999998</v>
      </c>
      <c r="S38" s="215">
        <v>5234.3500000000004</v>
      </c>
      <c r="T38" s="215"/>
      <c r="U38" s="766">
        <v>0</v>
      </c>
      <c r="V38" s="215">
        <f t="shared" si="6"/>
        <v>29496.269999999997</v>
      </c>
      <c r="W38" s="513"/>
      <c r="X38" s="513"/>
      <c r="Y38" s="513"/>
      <c r="Z38" s="215">
        <f>+L38-V38</f>
        <v>1916.3400000000038</v>
      </c>
      <c r="AA38" s="513"/>
      <c r="AB38" s="215">
        <v>0</v>
      </c>
      <c r="AC38" s="767"/>
    </row>
    <row r="39" spans="1:29" ht="25.5">
      <c r="A39" s="764" t="s">
        <v>782</v>
      </c>
      <c r="B39" s="545">
        <v>95424.99</v>
      </c>
      <c r="C39" s="545">
        <v>0</v>
      </c>
      <c r="D39" s="545"/>
      <c r="E39" s="545">
        <v>0</v>
      </c>
      <c r="F39" s="545">
        <v>0</v>
      </c>
      <c r="G39" s="768">
        <f>+B39+C39+E39-F39</f>
        <v>95424.99</v>
      </c>
      <c r="H39" s="545"/>
      <c r="I39" s="987"/>
      <c r="J39" s="545"/>
      <c r="K39" s="545"/>
      <c r="L39" s="990">
        <f t="shared" si="5"/>
        <v>95424.99</v>
      </c>
      <c r="M39" s="513"/>
      <c r="N39" s="545">
        <v>95425</v>
      </c>
      <c r="O39" s="545">
        <v>0</v>
      </c>
      <c r="P39" s="545"/>
      <c r="Q39" s="768">
        <v>0</v>
      </c>
      <c r="R39" s="545">
        <f>+N39+O39-Q39+P39</f>
        <v>95425</v>
      </c>
      <c r="S39" s="545">
        <v>0</v>
      </c>
      <c r="T39" s="545"/>
      <c r="U39" s="768">
        <v>0</v>
      </c>
      <c r="V39" s="545">
        <f t="shared" si="6"/>
        <v>95425</v>
      </c>
      <c r="W39" s="513"/>
      <c r="X39" s="513"/>
      <c r="Y39" s="513"/>
      <c r="Z39" s="545">
        <f>+L39-V39</f>
        <v>-9.9999999947613105E-3</v>
      </c>
      <c r="AA39" s="513"/>
      <c r="AB39" s="545">
        <v>0</v>
      </c>
      <c r="AC39" s="767"/>
    </row>
    <row r="40" spans="1:29" ht="17.25" customHeight="1">
      <c r="A40" s="194" t="s">
        <v>783</v>
      </c>
      <c r="B40" s="149">
        <f>SUM(B41:B42)</f>
        <v>790356</v>
      </c>
      <c r="C40" s="149">
        <f>SUM(C41:C42)</f>
        <v>80871.149999999994</v>
      </c>
      <c r="D40" s="149"/>
      <c r="E40" s="149">
        <f>SUM(E41:E42)</f>
        <v>0</v>
      </c>
      <c r="F40" s="149">
        <f>SUM(F41:F42)</f>
        <v>355</v>
      </c>
      <c r="G40" s="149">
        <f>SUM(G41:G42)</f>
        <v>870872.15</v>
      </c>
      <c r="H40" s="149">
        <f t="shared" ref="H40:L40" si="20">SUM(H41:H42)</f>
        <v>10199.969999999999</v>
      </c>
      <c r="I40" s="771">
        <f t="shared" si="20"/>
        <v>0</v>
      </c>
      <c r="J40" s="149">
        <f t="shared" si="20"/>
        <v>0</v>
      </c>
      <c r="K40" s="149">
        <f t="shared" si="20"/>
        <v>0</v>
      </c>
      <c r="L40" s="771">
        <f t="shared" si="20"/>
        <v>881072.12</v>
      </c>
      <c r="M40" s="149"/>
      <c r="N40" s="149">
        <f t="shared" ref="N40:Z40" si="21">SUM(N41:N42)</f>
        <v>372806</v>
      </c>
      <c r="O40" s="149">
        <f t="shared" si="21"/>
        <v>138867.24</v>
      </c>
      <c r="P40" s="149">
        <f>SUM(P42)</f>
        <v>10415</v>
      </c>
      <c r="Q40" s="149">
        <f>SUM(Q41:Q42)</f>
        <v>212.8</v>
      </c>
      <c r="R40" s="149">
        <f t="shared" si="21"/>
        <v>521875.44</v>
      </c>
      <c r="S40" s="149">
        <f t="shared" ref="S40:V40" si="22">SUM(S41:S42)</f>
        <v>127621.91</v>
      </c>
      <c r="T40" s="149">
        <f t="shared" si="22"/>
        <v>0</v>
      </c>
      <c r="U40" s="149">
        <f t="shared" si="22"/>
        <v>0</v>
      </c>
      <c r="V40" s="149">
        <f t="shared" si="22"/>
        <v>649497.35</v>
      </c>
      <c r="W40" s="149"/>
      <c r="X40" s="149"/>
      <c r="Y40" s="149"/>
      <c r="Z40" s="149">
        <f t="shared" si="21"/>
        <v>231574.77000000002</v>
      </c>
      <c r="AA40" s="149"/>
      <c r="AB40" s="149">
        <f>SUM(AB41:AB42)</f>
        <v>0</v>
      </c>
      <c r="AC40" s="196"/>
    </row>
    <row r="41" spans="1:29">
      <c r="A41" s="764" t="s">
        <v>1187</v>
      </c>
      <c r="B41" s="543">
        <v>0</v>
      </c>
      <c r="C41" s="543">
        <v>0</v>
      </c>
      <c r="D41" s="543"/>
      <c r="E41" s="543">
        <v>0</v>
      </c>
      <c r="F41" s="543">
        <v>0</v>
      </c>
      <c r="G41" s="765">
        <f>+B41+C41+E41-F41</f>
        <v>0</v>
      </c>
      <c r="H41" s="543"/>
      <c r="I41" s="977"/>
      <c r="J41" s="543"/>
      <c r="K41" s="543"/>
      <c r="L41" s="980">
        <f t="shared" si="5"/>
        <v>0</v>
      </c>
      <c r="M41" s="513"/>
      <c r="N41" s="543">
        <v>0</v>
      </c>
      <c r="O41" s="543">
        <v>0</v>
      </c>
      <c r="P41" s="543"/>
      <c r="Q41" s="543">
        <v>0</v>
      </c>
      <c r="R41" s="543">
        <v>0</v>
      </c>
      <c r="S41" s="543">
        <v>0</v>
      </c>
      <c r="T41" s="543"/>
      <c r="U41" s="543">
        <v>0</v>
      </c>
      <c r="V41" s="543">
        <f t="shared" si="6"/>
        <v>0</v>
      </c>
      <c r="W41" s="513"/>
      <c r="X41" s="513"/>
      <c r="Y41" s="513"/>
      <c r="Z41" s="543">
        <f>+L41-V41</f>
        <v>0</v>
      </c>
      <c r="AA41" s="513"/>
      <c r="AB41" s="543">
        <v>0</v>
      </c>
      <c r="AC41" s="767"/>
    </row>
    <row r="42" spans="1:29">
      <c r="A42" s="764" t="s">
        <v>784</v>
      </c>
      <c r="B42" s="545">
        <v>790356</v>
      </c>
      <c r="C42" s="545">
        <v>80871.149999999994</v>
      </c>
      <c r="D42" s="545"/>
      <c r="E42" s="545">
        <v>0</v>
      </c>
      <c r="F42" s="545">
        <v>355</v>
      </c>
      <c r="G42" s="768">
        <f>+B42+C42+E42-F42</f>
        <v>870872.15</v>
      </c>
      <c r="H42" s="545">
        <v>10199.969999999999</v>
      </c>
      <c r="I42" s="987"/>
      <c r="J42" s="545"/>
      <c r="K42" s="545"/>
      <c r="L42" s="990">
        <f t="shared" si="5"/>
        <v>881072.12</v>
      </c>
      <c r="M42" s="513"/>
      <c r="N42" s="545">
        <v>372806</v>
      </c>
      <c r="O42" s="545">
        <v>138867.24</v>
      </c>
      <c r="P42" s="545">
        <v>10415</v>
      </c>
      <c r="Q42" s="545">
        <v>212.8</v>
      </c>
      <c r="R42" s="545">
        <f>+N42+O42-Q42+P42</f>
        <v>521875.44</v>
      </c>
      <c r="S42" s="545">
        <v>127621.91</v>
      </c>
      <c r="T42" s="545">
        <v>0</v>
      </c>
      <c r="U42" s="545">
        <v>0</v>
      </c>
      <c r="V42" s="545">
        <f t="shared" si="6"/>
        <v>649497.35</v>
      </c>
      <c r="W42" s="513"/>
      <c r="X42" s="513"/>
      <c r="Y42" s="513"/>
      <c r="Z42" s="545">
        <f>+L42-V42</f>
        <v>231574.77000000002</v>
      </c>
      <c r="AA42" s="513"/>
      <c r="AB42" s="545">
        <v>0</v>
      </c>
      <c r="AC42" s="767"/>
    </row>
    <row r="43" spans="1:29" ht="25.5">
      <c r="A43" s="194" t="s">
        <v>649</v>
      </c>
      <c r="B43" s="149">
        <f>B44</f>
        <v>1115273</v>
      </c>
      <c r="C43" s="149">
        <f>C44</f>
        <v>576391.18000000005</v>
      </c>
      <c r="D43" s="149"/>
      <c r="E43" s="149">
        <f>E44</f>
        <v>0</v>
      </c>
      <c r="F43" s="149">
        <f>F44</f>
        <v>0</v>
      </c>
      <c r="G43" s="149">
        <f>G44</f>
        <v>1691664.1800000002</v>
      </c>
      <c r="H43" s="149">
        <f t="shared" ref="H43:L43" si="23">H44</f>
        <v>4389382.5599999996</v>
      </c>
      <c r="I43" s="771">
        <f t="shared" si="23"/>
        <v>0</v>
      </c>
      <c r="J43" s="149">
        <f t="shared" si="23"/>
        <v>0</v>
      </c>
      <c r="K43" s="149">
        <f t="shared" si="23"/>
        <v>0</v>
      </c>
      <c r="L43" s="771">
        <f t="shared" si="23"/>
        <v>6081046.7400000002</v>
      </c>
      <c r="M43" s="149"/>
      <c r="N43" s="149">
        <f t="shared" ref="N43:Z43" si="24">N44</f>
        <v>304918</v>
      </c>
      <c r="O43" s="149">
        <f t="shared" si="24"/>
        <v>37107.78</v>
      </c>
      <c r="P43" s="149">
        <f>SUM(P44)</f>
        <v>-51675</v>
      </c>
      <c r="Q43" s="149">
        <f t="shared" si="24"/>
        <v>0</v>
      </c>
      <c r="R43" s="149">
        <f t="shared" si="24"/>
        <v>290350.78000000003</v>
      </c>
      <c r="S43" s="149">
        <f t="shared" si="24"/>
        <v>59241.21</v>
      </c>
      <c r="T43" s="149">
        <f>SUM(T44)</f>
        <v>0</v>
      </c>
      <c r="U43" s="149">
        <f t="shared" ref="U43:V43" si="25">SUM(U44)</f>
        <v>0</v>
      </c>
      <c r="V43" s="149">
        <f t="shared" si="25"/>
        <v>349591.99000000005</v>
      </c>
      <c r="W43" s="149"/>
      <c r="X43" s="149"/>
      <c r="Y43" s="149"/>
      <c r="Z43" s="149">
        <f t="shared" si="24"/>
        <v>5731454.75</v>
      </c>
      <c r="AA43" s="149"/>
      <c r="AB43" s="149">
        <f>AB44</f>
        <v>0</v>
      </c>
      <c r="AC43" s="196"/>
    </row>
    <row r="44" spans="1:29" ht="20.25" customHeight="1">
      <c r="A44" s="764" t="s">
        <v>648</v>
      </c>
      <c r="B44" s="558">
        <v>1115273</v>
      </c>
      <c r="C44" s="558">
        <v>576391.18000000005</v>
      </c>
      <c r="D44" s="558"/>
      <c r="E44" s="558">
        <v>0</v>
      </c>
      <c r="F44" s="558">
        <v>0</v>
      </c>
      <c r="G44" s="558">
        <f>+B44+C44+E44-F44</f>
        <v>1691664.1800000002</v>
      </c>
      <c r="H44" s="558">
        <v>4389382.5599999996</v>
      </c>
      <c r="I44" s="1572"/>
      <c r="J44" s="558"/>
      <c r="K44" s="558"/>
      <c r="L44" s="1574">
        <f t="shared" si="5"/>
        <v>6081046.7400000002</v>
      </c>
      <c r="M44" s="513"/>
      <c r="N44" s="558">
        <v>304918</v>
      </c>
      <c r="O44" s="558">
        <v>37107.78</v>
      </c>
      <c r="P44" s="558">
        <v>-51675</v>
      </c>
      <c r="Q44" s="558">
        <v>0</v>
      </c>
      <c r="R44" s="558">
        <f>+N44+O44-Q44+P44</f>
        <v>290350.78000000003</v>
      </c>
      <c r="S44" s="558">
        <v>59241.21</v>
      </c>
      <c r="T44" s="558">
        <v>0</v>
      </c>
      <c r="U44" s="558">
        <v>0</v>
      </c>
      <c r="V44" s="558">
        <f t="shared" si="6"/>
        <v>349591.99000000005</v>
      </c>
      <c r="W44" s="513"/>
      <c r="X44" s="513"/>
      <c r="Y44" s="513"/>
      <c r="Z44" s="558">
        <f>+L44-V44</f>
        <v>5731454.75</v>
      </c>
      <c r="AA44" s="513"/>
      <c r="AB44" s="558">
        <v>0</v>
      </c>
      <c r="AC44" s="767"/>
    </row>
    <row r="45" spans="1:29" ht="30.75" customHeight="1">
      <c r="A45" s="194" t="s">
        <v>785</v>
      </c>
      <c r="B45" s="149">
        <f>SUM(B46:B47)</f>
        <v>0</v>
      </c>
      <c r="C45" s="149">
        <f>SUM(C46:C47)</f>
        <v>0</v>
      </c>
      <c r="D45" s="149"/>
      <c r="E45" s="149">
        <f>SUM(E46:E47)</f>
        <v>0</v>
      </c>
      <c r="F45" s="149">
        <f>SUM(F46:F47)</f>
        <v>0</v>
      </c>
      <c r="G45" s="149">
        <f>SUM(G46:G47)</f>
        <v>0</v>
      </c>
      <c r="H45" s="149">
        <f t="shared" ref="H45:L45" si="26">SUM(H46:H47)</f>
        <v>0</v>
      </c>
      <c r="I45" s="771">
        <f t="shared" si="26"/>
        <v>0</v>
      </c>
      <c r="J45" s="149">
        <f t="shared" si="26"/>
        <v>0</v>
      </c>
      <c r="K45" s="149">
        <f t="shared" si="26"/>
        <v>0</v>
      </c>
      <c r="L45" s="771">
        <f t="shared" si="26"/>
        <v>0</v>
      </c>
      <c r="M45" s="149"/>
      <c r="N45" s="149">
        <f>SUM(N46:N47)</f>
        <v>0</v>
      </c>
      <c r="O45" s="149">
        <f>SUM(O46:O47)</f>
        <v>0</v>
      </c>
      <c r="P45" s="149"/>
      <c r="Q45" s="149">
        <f>SUM(Q46:Q47)</f>
        <v>0</v>
      </c>
      <c r="R45" s="149">
        <f>SUM(R46:R47)</f>
        <v>0</v>
      </c>
      <c r="S45" s="149">
        <f>SUM(S46:S47)</f>
        <v>0</v>
      </c>
      <c r="T45" s="149">
        <f t="shared" ref="T45:V45" si="27">SUM(T46:T47)</f>
        <v>0</v>
      </c>
      <c r="U45" s="149">
        <f t="shared" si="27"/>
        <v>0</v>
      </c>
      <c r="V45" s="149">
        <f t="shared" si="27"/>
        <v>0</v>
      </c>
      <c r="W45" s="149"/>
      <c r="X45" s="149"/>
      <c r="Y45" s="149"/>
      <c r="Z45" s="149">
        <f>SUM(Z46:Z47)</f>
        <v>0</v>
      </c>
      <c r="AA45" s="149"/>
      <c r="AB45" s="149">
        <f>SUM(AB46:AB47)</f>
        <v>0</v>
      </c>
      <c r="AC45" s="196"/>
    </row>
    <row r="46" spans="1:29" ht="15" customHeight="1">
      <c r="A46" s="764" t="s">
        <v>713</v>
      </c>
      <c r="B46" s="543">
        <v>0</v>
      </c>
      <c r="C46" s="543">
        <v>0</v>
      </c>
      <c r="D46" s="543"/>
      <c r="E46" s="543">
        <v>0</v>
      </c>
      <c r="F46" s="543">
        <v>0</v>
      </c>
      <c r="G46" s="765">
        <f>+B46+C46+E46-F46</f>
        <v>0</v>
      </c>
      <c r="H46" s="543"/>
      <c r="I46" s="977"/>
      <c r="J46" s="543"/>
      <c r="K46" s="543"/>
      <c r="L46" s="980">
        <f t="shared" si="5"/>
        <v>0</v>
      </c>
      <c r="M46" s="513"/>
      <c r="N46" s="543">
        <v>0</v>
      </c>
      <c r="O46" s="543">
        <v>0</v>
      </c>
      <c r="P46" s="543"/>
      <c r="Q46" s="543">
        <v>0</v>
      </c>
      <c r="R46" s="543">
        <f>+N46+O46-Q46</f>
        <v>0</v>
      </c>
      <c r="S46" s="543">
        <v>0</v>
      </c>
      <c r="T46" s="543"/>
      <c r="U46" s="543">
        <v>0</v>
      </c>
      <c r="V46" s="543">
        <f t="shared" si="6"/>
        <v>0</v>
      </c>
      <c r="W46" s="513"/>
      <c r="X46" s="513"/>
      <c r="Y46" s="513"/>
      <c r="Z46" s="543">
        <f>+L46-V46</f>
        <v>0</v>
      </c>
      <c r="AA46" s="513"/>
      <c r="AB46" s="543">
        <v>0</v>
      </c>
      <c r="AC46" s="767"/>
    </row>
    <row r="47" spans="1:29" ht="17.25" customHeight="1">
      <c r="A47" s="764" t="s">
        <v>786</v>
      </c>
      <c r="B47" s="545">
        <v>0</v>
      </c>
      <c r="C47" s="545">
        <v>0</v>
      </c>
      <c r="D47" s="545"/>
      <c r="E47" s="545">
        <v>0</v>
      </c>
      <c r="F47" s="545">
        <v>0</v>
      </c>
      <c r="G47" s="768">
        <f>+B47+C47+E47-F47</f>
        <v>0</v>
      </c>
      <c r="H47" s="545"/>
      <c r="I47" s="987"/>
      <c r="J47" s="545"/>
      <c r="K47" s="545"/>
      <c r="L47" s="990">
        <f t="shared" si="5"/>
        <v>0</v>
      </c>
      <c r="M47" s="513"/>
      <c r="N47" s="545">
        <v>0</v>
      </c>
      <c r="O47" s="545">
        <v>0</v>
      </c>
      <c r="P47" s="545"/>
      <c r="Q47" s="545">
        <v>0</v>
      </c>
      <c r="R47" s="545">
        <f>+N47+O47-Q47</f>
        <v>0</v>
      </c>
      <c r="S47" s="545">
        <v>0</v>
      </c>
      <c r="T47" s="545"/>
      <c r="U47" s="545">
        <v>0</v>
      </c>
      <c r="V47" s="545">
        <f t="shared" si="6"/>
        <v>0</v>
      </c>
      <c r="W47" s="513"/>
      <c r="X47" s="513"/>
      <c r="Y47" s="513"/>
      <c r="Z47" s="545">
        <f>+L47-V47</f>
        <v>0</v>
      </c>
      <c r="AA47" s="513"/>
      <c r="AB47" s="545" t="s">
        <v>496</v>
      </c>
      <c r="AC47" s="767"/>
    </row>
    <row r="48" spans="1:29" ht="25.5">
      <c r="A48" s="194" t="s">
        <v>787</v>
      </c>
      <c r="B48" s="149">
        <f>B49</f>
        <v>2162692</v>
      </c>
      <c r="C48" s="149">
        <f>C49</f>
        <v>0</v>
      </c>
      <c r="D48" s="149"/>
      <c r="E48" s="149">
        <f>E49</f>
        <v>0</v>
      </c>
      <c r="F48" s="149">
        <f>F49</f>
        <v>0</v>
      </c>
      <c r="G48" s="149">
        <f>G49</f>
        <v>2162692</v>
      </c>
      <c r="H48" s="149">
        <f t="shared" ref="H48:L48" si="28">H49</f>
        <v>0</v>
      </c>
      <c r="I48" s="771">
        <f t="shared" si="28"/>
        <v>0</v>
      </c>
      <c r="J48" s="149">
        <f t="shared" si="28"/>
        <v>0</v>
      </c>
      <c r="K48" s="149">
        <f t="shared" si="28"/>
        <v>0</v>
      </c>
      <c r="L48" s="771">
        <f t="shared" si="28"/>
        <v>2162692</v>
      </c>
      <c r="M48" s="149"/>
      <c r="N48" s="149">
        <f>N49</f>
        <v>2046167</v>
      </c>
      <c r="O48" s="149">
        <f>O49</f>
        <v>76305.63</v>
      </c>
      <c r="P48" s="149">
        <f>SUM(P49)</f>
        <v>-1365517</v>
      </c>
      <c r="Q48" s="149">
        <f>Q49</f>
        <v>0</v>
      </c>
      <c r="R48" s="149">
        <f>R49</f>
        <v>756955.62999999989</v>
      </c>
      <c r="S48" s="149">
        <f>S49</f>
        <v>76305.63</v>
      </c>
      <c r="T48" s="149">
        <f>SUM(T49)</f>
        <v>0</v>
      </c>
      <c r="U48" s="149">
        <f t="shared" ref="U48:V48" si="29">SUM(U49)</f>
        <v>0</v>
      </c>
      <c r="V48" s="149">
        <f t="shared" si="29"/>
        <v>833261.25999999989</v>
      </c>
      <c r="W48" s="149"/>
      <c r="X48" s="149"/>
      <c r="Y48" s="149"/>
      <c r="Z48" s="149">
        <f>Z49</f>
        <v>1329430.7400000002</v>
      </c>
      <c r="AA48" s="149"/>
      <c r="AB48" s="149">
        <f>AB49</f>
        <v>0</v>
      </c>
      <c r="AC48" s="196"/>
    </row>
    <row r="49" spans="1:29" ht="24.75" customHeight="1">
      <c r="A49" s="764" t="s">
        <v>788</v>
      </c>
      <c r="B49" s="558">
        <v>2162692</v>
      </c>
      <c r="C49" s="558">
        <v>0</v>
      </c>
      <c r="D49" s="558"/>
      <c r="E49" s="558">
        <v>0</v>
      </c>
      <c r="F49" s="558">
        <v>0</v>
      </c>
      <c r="G49" s="558">
        <f>+B49+C49+E49-F49</f>
        <v>2162692</v>
      </c>
      <c r="H49" s="558"/>
      <c r="I49" s="1572"/>
      <c r="J49" s="558"/>
      <c r="K49" s="558"/>
      <c r="L49" s="1574">
        <f t="shared" si="5"/>
        <v>2162692</v>
      </c>
      <c r="M49" s="513"/>
      <c r="N49" s="558">
        <v>2046167</v>
      </c>
      <c r="O49" s="558">
        <v>76305.63</v>
      </c>
      <c r="P49" s="558">
        <v>-1365517</v>
      </c>
      <c r="Q49" s="558">
        <v>0</v>
      </c>
      <c r="R49" s="558">
        <f>+N49+O49-Q49+P49</f>
        <v>756955.62999999989</v>
      </c>
      <c r="S49" s="558">
        <v>76305.63</v>
      </c>
      <c r="T49" s="558">
        <v>0</v>
      </c>
      <c r="U49" s="558">
        <v>0</v>
      </c>
      <c r="V49" s="558">
        <f t="shared" si="6"/>
        <v>833261.25999999989</v>
      </c>
      <c r="W49" s="513"/>
      <c r="X49" s="513"/>
      <c r="Y49" s="513"/>
      <c r="Z49" s="558">
        <f>+L49-V49</f>
        <v>1329430.7400000002</v>
      </c>
      <c r="AA49" s="513"/>
      <c r="AB49" s="558">
        <v>0</v>
      </c>
      <c r="AC49" s="767"/>
    </row>
    <row r="50" spans="1:29" ht="16.5" customHeight="1">
      <c r="A50" s="194" t="s">
        <v>789</v>
      </c>
      <c r="B50" s="149">
        <f>B51</f>
        <v>0</v>
      </c>
      <c r="C50" s="149">
        <f>C51</f>
        <v>0</v>
      </c>
      <c r="D50" s="149"/>
      <c r="E50" s="149">
        <f>E51</f>
        <v>0</v>
      </c>
      <c r="F50" s="149">
        <f>F51</f>
        <v>0</v>
      </c>
      <c r="G50" s="149">
        <f>G51</f>
        <v>0</v>
      </c>
      <c r="H50" s="149"/>
      <c r="I50" s="771"/>
      <c r="J50" s="149"/>
      <c r="K50" s="149"/>
      <c r="L50" s="771"/>
      <c r="M50" s="149"/>
      <c r="N50" s="149">
        <f>N51</f>
        <v>0</v>
      </c>
      <c r="O50" s="149">
        <f>O51</f>
        <v>0</v>
      </c>
      <c r="P50" s="149"/>
      <c r="Q50" s="149">
        <f>Q51</f>
        <v>0</v>
      </c>
      <c r="R50" s="149">
        <f>R51</f>
        <v>0</v>
      </c>
      <c r="S50" s="149">
        <f>S51</f>
        <v>0</v>
      </c>
      <c r="T50" s="149"/>
      <c r="U50" s="149">
        <f>U51</f>
        <v>0</v>
      </c>
      <c r="V50" s="149"/>
      <c r="W50" s="149"/>
      <c r="X50" s="149"/>
      <c r="Y50" s="149"/>
      <c r="Z50" s="149">
        <f>Z51</f>
        <v>0</v>
      </c>
      <c r="AA50" s="149"/>
      <c r="AB50" s="149">
        <f>AB51</f>
        <v>0</v>
      </c>
      <c r="AC50" s="196"/>
    </row>
    <row r="51" spans="1:29" ht="49.5" customHeight="1">
      <c r="A51" s="764" t="s">
        <v>517</v>
      </c>
      <c r="B51" s="558">
        <v>0</v>
      </c>
      <c r="C51" s="558">
        <v>0</v>
      </c>
      <c r="D51" s="558"/>
      <c r="E51" s="558">
        <v>0</v>
      </c>
      <c r="F51" s="558">
        <v>0</v>
      </c>
      <c r="G51" s="558">
        <f>+B51+C51+E51-F51</f>
        <v>0</v>
      </c>
      <c r="H51" s="558"/>
      <c r="I51" s="1572"/>
      <c r="J51" s="558"/>
      <c r="K51" s="558"/>
      <c r="L51" s="1574">
        <f t="shared" si="5"/>
        <v>0</v>
      </c>
      <c r="M51" s="513"/>
      <c r="N51" s="558">
        <v>0</v>
      </c>
      <c r="O51" s="558">
        <v>0</v>
      </c>
      <c r="P51" s="558"/>
      <c r="Q51" s="558">
        <v>0</v>
      </c>
      <c r="R51" s="558">
        <f>+N51+O51-Q51</f>
        <v>0</v>
      </c>
      <c r="S51" s="558">
        <v>0</v>
      </c>
      <c r="T51" s="558"/>
      <c r="U51" s="558">
        <v>0</v>
      </c>
      <c r="V51" s="558">
        <f t="shared" si="6"/>
        <v>0</v>
      </c>
      <c r="W51" s="513"/>
      <c r="X51" s="513"/>
      <c r="Y51" s="513"/>
      <c r="Z51" s="558">
        <f>+L51-V51</f>
        <v>0</v>
      </c>
      <c r="AA51" s="513"/>
      <c r="AB51" s="558">
        <v>0</v>
      </c>
      <c r="AC51" s="767"/>
    </row>
    <row r="52" spans="1:29">
      <c r="A52" s="194" t="s">
        <v>790</v>
      </c>
      <c r="B52" s="149">
        <f>SUM(B53:B54)</f>
        <v>0</v>
      </c>
      <c r="C52" s="149">
        <f>SUM(C53:C54)</f>
        <v>0</v>
      </c>
      <c r="D52" s="149"/>
      <c r="E52" s="149">
        <f>SUM(E53:E54)</f>
        <v>0</v>
      </c>
      <c r="F52" s="149">
        <f>SUM(F53:F54)</f>
        <v>0</v>
      </c>
      <c r="G52" s="149">
        <f>SUM(G53:G54)</f>
        <v>0</v>
      </c>
      <c r="H52" s="149"/>
      <c r="I52" s="771"/>
      <c r="J52" s="149"/>
      <c r="K52" s="149"/>
      <c r="L52" s="771"/>
      <c r="M52" s="149"/>
      <c r="N52" s="149">
        <f>SUM(N53:N54)</f>
        <v>0</v>
      </c>
      <c r="O52" s="149">
        <f>SUM(O53:O54)</f>
        <v>0</v>
      </c>
      <c r="P52" s="149"/>
      <c r="Q52" s="149">
        <f>SUM(Q53:Q54)</f>
        <v>0</v>
      </c>
      <c r="R52" s="149">
        <f>SUM(R53:R54)</f>
        <v>0</v>
      </c>
      <c r="S52" s="149">
        <f>SUM(S53:S54)</f>
        <v>0</v>
      </c>
      <c r="T52" s="149"/>
      <c r="U52" s="149">
        <f>SUM(U53:U54)</f>
        <v>0</v>
      </c>
      <c r="V52" s="149"/>
      <c r="W52" s="149"/>
      <c r="X52" s="149"/>
      <c r="Y52" s="149"/>
      <c r="Z52" s="149">
        <f>SUM(Z53:Z54)</f>
        <v>0</v>
      </c>
      <c r="AA52" s="149"/>
      <c r="AB52" s="149">
        <f>SUM(AB53:AB54)</f>
        <v>0</v>
      </c>
      <c r="AC52" s="196"/>
    </row>
    <row r="53" spans="1:29">
      <c r="A53" s="764" t="s">
        <v>791</v>
      </c>
      <c r="B53" s="543">
        <v>0</v>
      </c>
      <c r="C53" s="543">
        <v>0</v>
      </c>
      <c r="D53" s="543"/>
      <c r="E53" s="543">
        <v>0</v>
      </c>
      <c r="F53" s="543">
        <v>0</v>
      </c>
      <c r="G53" s="765">
        <f>+B53+C53+E53-F53</f>
        <v>0</v>
      </c>
      <c r="H53" s="543"/>
      <c r="I53" s="977"/>
      <c r="J53" s="543"/>
      <c r="K53" s="543"/>
      <c r="L53" s="980">
        <f t="shared" si="5"/>
        <v>0</v>
      </c>
      <c r="M53" s="513"/>
      <c r="N53" s="543">
        <v>0</v>
      </c>
      <c r="O53" s="543">
        <v>0</v>
      </c>
      <c r="P53" s="543"/>
      <c r="Q53" s="543">
        <v>0</v>
      </c>
      <c r="R53" s="543">
        <f>+N53+O53-Q53</f>
        <v>0</v>
      </c>
      <c r="S53" s="543">
        <v>0</v>
      </c>
      <c r="T53" s="543"/>
      <c r="U53" s="543">
        <v>0</v>
      </c>
      <c r="V53" s="543">
        <f t="shared" si="6"/>
        <v>0</v>
      </c>
      <c r="W53" s="513"/>
      <c r="X53" s="513"/>
      <c r="Y53" s="513"/>
      <c r="Z53" s="543">
        <f>+L53-V53</f>
        <v>0</v>
      </c>
      <c r="AA53" s="513"/>
      <c r="AB53" s="543">
        <v>0</v>
      </c>
      <c r="AC53" s="767"/>
    </row>
    <row r="54" spans="1:29">
      <c r="A54" s="764" t="s">
        <v>792</v>
      </c>
      <c r="B54" s="545">
        <v>0</v>
      </c>
      <c r="C54" s="545">
        <v>0</v>
      </c>
      <c r="D54" s="545"/>
      <c r="E54" s="545">
        <v>0</v>
      </c>
      <c r="F54" s="545">
        <v>0</v>
      </c>
      <c r="G54" s="768">
        <f>+B54+C54+E54-F54</f>
        <v>0</v>
      </c>
      <c r="H54" s="545"/>
      <c r="I54" s="987"/>
      <c r="J54" s="545"/>
      <c r="K54" s="545"/>
      <c r="L54" s="990">
        <f t="shared" si="5"/>
        <v>0</v>
      </c>
      <c r="M54" s="513"/>
      <c r="N54" s="545">
        <v>0</v>
      </c>
      <c r="O54" s="545">
        <v>0</v>
      </c>
      <c r="P54" s="545"/>
      <c r="Q54" s="545">
        <v>0</v>
      </c>
      <c r="R54" s="545">
        <f>+N54+O54-Q54</f>
        <v>0</v>
      </c>
      <c r="S54" s="545">
        <v>0</v>
      </c>
      <c r="T54" s="545"/>
      <c r="U54" s="545">
        <v>0</v>
      </c>
      <c r="V54" s="545">
        <f t="shared" si="6"/>
        <v>0</v>
      </c>
      <c r="W54" s="513"/>
      <c r="X54" s="513"/>
      <c r="Y54" s="513"/>
      <c r="Z54" s="545">
        <f>+L54-V54</f>
        <v>0</v>
      </c>
      <c r="AA54" s="513"/>
      <c r="AB54" s="545">
        <v>0</v>
      </c>
      <c r="AC54" s="767"/>
    </row>
    <row r="55" spans="1:29">
      <c r="A55" s="764"/>
      <c r="B55" s="513"/>
      <c r="C55" s="513"/>
      <c r="D55" s="513"/>
      <c r="E55" s="513"/>
      <c r="F55" s="513"/>
      <c r="G55" s="513"/>
      <c r="H55" s="513"/>
      <c r="I55" s="458"/>
      <c r="J55" s="513"/>
      <c r="K55" s="513"/>
      <c r="L55" s="458"/>
      <c r="M55" s="513"/>
      <c r="N55" s="513"/>
      <c r="O55" s="513">
        <v>0</v>
      </c>
      <c r="P55" s="513"/>
      <c r="Q55" s="513">
        <v>0</v>
      </c>
      <c r="R55" s="513"/>
      <c r="S55" s="513">
        <v>0</v>
      </c>
      <c r="T55" s="513"/>
      <c r="U55" s="513">
        <v>0</v>
      </c>
      <c r="V55" s="513"/>
      <c r="W55" s="513"/>
      <c r="X55" s="513"/>
      <c r="Y55" s="513"/>
      <c r="Z55" s="513"/>
      <c r="AA55" s="513"/>
      <c r="AB55" s="149"/>
      <c r="AC55" s="767"/>
    </row>
    <row r="56" spans="1:29">
      <c r="A56" s="194" t="s">
        <v>793</v>
      </c>
      <c r="B56" s="149">
        <f>SUM(B57:B58)</f>
        <v>16213243</v>
      </c>
      <c r="C56" s="149">
        <f>SUM(C57:C58)</f>
        <v>1311493.6499999999</v>
      </c>
      <c r="D56" s="149"/>
      <c r="E56" s="149">
        <f>SUM(E57:E58)</f>
        <v>0</v>
      </c>
      <c r="F56" s="149">
        <f>SUM(F57:F58)</f>
        <v>0</v>
      </c>
      <c r="G56" s="149">
        <f>SUM(G57:G58)</f>
        <v>17524736.649999999</v>
      </c>
      <c r="H56" s="149">
        <f t="shared" ref="H56:L56" si="30">SUM(H57:H58)</f>
        <v>2597187.83</v>
      </c>
      <c r="I56" s="771">
        <f t="shared" si="30"/>
        <v>-15588.97</v>
      </c>
      <c r="J56" s="149">
        <f t="shared" si="30"/>
        <v>0</v>
      </c>
      <c r="K56" s="149">
        <f t="shared" si="30"/>
        <v>0</v>
      </c>
      <c r="L56" s="771">
        <f t="shared" si="30"/>
        <v>20106335.509999998</v>
      </c>
      <c r="M56" s="149"/>
      <c r="N56" s="149">
        <f t="shared" ref="N56:T56" si="31">SUM(N57:N58)</f>
        <v>4202288</v>
      </c>
      <c r="O56" s="149">
        <f t="shared" si="31"/>
        <v>949915.22</v>
      </c>
      <c r="P56" s="149">
        <f t="shared" si="31"/>
        <v>-174370</v>
      </c>
      <c r="Q56" s="149">
        <f t="shared" si="31"/>
        <v>0</v>
      </c>
      <c r="R56" s="149">
        <f t="shared" si="31"/>
        <v>4977833.22</v>
      </c>
      <c r="S56" s="149">
        <f t="shared" si="31"/>
        <v>1000212.8</v>
      </c>
      <c r="T56" s="149">
        <f t="shared" si="31"/>
        <v>0</v>
      </c>
      <c r="U56" s="149">
        <f t="shared" ref="U56:V56" si="32">SUM(U57:U58)</f>
        <v>0</v>
      </c>
      <c r="V56" s="149">
        <f t="shared" si="32"/>
        <v>5978046.0199999996</v>
      </c>
      <c r="W56" s="149"/>
      <c r="X56" s="149"/>
      <c r="Y56" s="149"/>
      <c r="Z56" s="149">
        <f>SUM(Z57:Z58)</f>
        <v>14128289.489999998</v>
      </c>
      <c r="AA56" s="149"/>
      <c r="AB56" s="149">
        <f>SUM(AB57:AB58)</f>
        <v>0</v>
      </c>
      <c r="AC56" s="196"/>
    </row>
    <row r="57" spans="1:29" ht="25.5">
      <c r="A57" s="764" t="s">
        <v>794</v>
      </c>
      <c r="B57" s="543">
        <f>16213245-2</f>
        <v>16213243</v>
      </c>
      <c r="C57" s="543">
        <v>1311493.6499999999</v>
      </c>
      <c r="D57" s="543"/>
      <c r="E57" s="543">
        <v>0</v>
      </c>
      <c r="F57" s="543">
        <v>0</v>
      </c>
      <c r="G57" s="765">
        <f>+B57+C57+E57-F57</f>
        <v>17524736.649999999</v>
      </c>
      <c r="H57" s="543">
        <v>2597187.83</v>
      </c>
      <c r="I57" s="977">
        <v>-15588.97</v>
      </c>
      <c r="J57" s="543"/>
      <c r="K57" s="543"/>
      <c r="L57" s="980">
        <f t="shared" ref="L57:L58" si="33">G57+H57+I57+J57-K57</f>
        <v>20106335.509999998</v>
      </c>
      <c r="M57" s="513"/>
      <c r="N57" s="543">
        <f>4202285+3</f>
        <v>4202288</v>
      </c>
      <c r="O57" s="543">
        <v>949915.22</v>
      </c>
      <c r="P57" s="543">
        <v>-174370</v>
      </c>
      <c r="Q57" s="543">
        <v>0</v>
      </c>
      <c r="R57" s="543">
        <f>+N57+O57-Q57+P57</f>
        <v>4977833.22</v>
      </c>
      <c r="S57" s="543">
        <f>1000216.81-4.01</f>
        <v>1000212.8</v>
      </c>
      <c r="T57" s="543">
        <v>0</v>
      </c>
      <c r="U57" s="543">
        <v>0</v>
      </c>
      <c r="V57" s="543">
        <f t="shared" ref="V57:V58" si="34">R57+S57+T57-U57</f>
        <v>5978046.0199999996</v>
      </c>
      <c r="W57" s="513"/>
      <c r="X57" s="513"/>
      <c r="Y57" s="513"/>
      <c r="Z57" s="543">
        <f>+L57-V57</f>
        <v>14128289.489999998</v>
      </c>
      <c r="AA57" s="513"/>
      <c r="AB57" s="543">
        <v>0</v>
      </c>
      <c r="AC57" s="767"/>
    </row>
    <row r="58" spans="1:29">
      <c r="A58" s="764" t="s">
        <v>518</v>
      </c>
      <c r="B58" s="545">
        <v>0</v>
      </c>
      <c r="C58" s="545">
        <v>0</v>
      </c>
      <c r="D58" s="545"/>
      <c r="E58" s="545">
        <v>0</v>
      </c>
      <c r="F58" s="545">
        <v>0</v>
      </c>
      <c r="G58" s="768">
        <f>+B58+C58+E58-F58</f>
        <v>0</v>
      </c>
      <c r="H58" s="545"/>
      <c r="I58" s="987"/>
      <c r="J58" s="545"/>
      <c r="K58" s="545"/>
      <c r="L58" s="990">
        <f t="shared" si="33"/>
        <v>0</v>
      </c>
      <c r="M58" s="513"/>
      <c r="N58" s="545">
        <v>0</v>
      </c>
      <c r="O58" s="545">
        <v>0</v>
      </c>
      <c r="P58" s="545"/>
      <c r="Q58" s="545">
        <v>0</v>
      </c>
      <c r="R58" s="545">
        <v>0</v>
      </c>
      <c r="S58" s="545">
        <v>0</v>
      </c>
      <c r="T58" s="545"/>
      <c r="U58" s="545">
        <v>0</v>
      </c>
      <c r="V58" s="545">
        <f t="shared" si="34"/>
        <v>0</v>
      </c>
      <c r="W58" s="513"/>
      <c r="X58" s="513"/>
      <c r="Y58" s="513"/>
      <c r="Z58" s="545">
        <f>+L58-V58</f>
        <v>0</v>
      </c>
      <c r="AA58" s="513"/>
      <c r="AB58" s="545">
        <v>0</v>
      </c>
      <c r="AC58" s="767"/>
    </row>
    <row r="59" spans="1:29">
      <c r="A59" s="197" t="s">
        <v>1188</v>
      </c>
      <c r="B59" s="910">
        <f t="shared" ref="B59:L59" si="35">B56+B52+B50+B48+B45+B43+B40+B35+B31+B27+B24+B10+B8</f>
        <v>119971866.96000001</v>
      </c>
      <c r="C59" s="910">
        <f t="shared" si="35"/>
        <v>12364563.92</v>
      </c>
      <c r="D59" s="910">
        <f t="shared" si="35"/>
        <v>423376.42</v>
      </c>
      <c r="E59" s="910">
        <f t="shared" si="35"/>
        <v>0</v>
      </c>
      <c r="F59" s="910">
        <f t="shared" si="35"/>
        <v>4635631.9400000004</v>
      </c>
      <c r="G59" s="910">
        <f t="shared" si="35"/>
        <v>127277422.52</v>
      </c>
      <c r="H59" s="910">
        <f t="shared" si="35"/>
        <v>16182192.310000001</v>
      </c>
      <c r="I59" s="1571">
        <f t="shared" si="35"/>
        <v>-981125.87999999989</v>
      </c>
      <c r="J59" s="910">
        <f t="shared" si="35"/>
        <v>0</v>
      </c>
      <c r="K59" s="910">
        <f t="shared" si="35"/>
        <v>25562</v>
      </c>
      <c r="L59" s="1571">
        <f t="shared" si="35"/>
        <v>142452926.94999999</v>
      </c>
      <c r="M59" s="910"/>
      <c r="N59" s="910">
        <f t="shared" ref="N59:Z59" si="36">N56+N52+N50+N48+N45+N43+N40+N35+N31+N27+N24+N10+N8</f>
        <v>25972907</v>
      </c>
      <c r="O59" s="910">
        <f t="shared" si="36"/>
        <v>4807122.6800000006</v>
      </c>
      <c r="P59" s="910">
        <f t="shared" si="36"/>
        <v>-1611218</v>
      </c>
      <c r="Q59" s="910">
        <f>Q56+Q52+Q50+Q48+Q45+Q43+Q40+Q35+Q31+Q27+Q24+Q10+Q8</f>
        <v>4698.8100000000004</v>
      </c>
      <c r="R59" s="910">
        <f t="shared" si="36"/>
        <v>29164112.870000005</v>
      </c>
      <c r="S59" s="910">
        <f t="shared" si="36"/>
        <v>7102459.0000000009</v>
      </c>
      <c r="T59" s="910">
        <f t="shared" si="36"/>
        <v>0</v>
      </c>
      <c r="U59" s="910">
        <f t="shared" si="36"/>
        <v>0</v>
      </c>
      <c r="V59" s="910">
        <f t="shared" si="36"/>
        <v>36266571.869999997</v>
      </c>
      <c r="W59" s="910"/>
      <c r="X59" s="910"/>
      <c r="Y59" s="910"/>
      <c r="Z59" s="910">
        <f t="shared" si="36"/>
        <v>106186355.08</v>
      </c>
      <c r="AA59" s="910"/>
      <c r="AB59" s="910">
        <f>AB56+AB52+AB50+AB48+AB45+AB43+AB40+AB35+AB31+AB27+AB24+AB10+AB8</f>
        <v>0</v>
      </c>
      <c r="AC59" s="769"/>
    </row>
    <row r="60" spans="1:29">
      <c r="O60" s="334" t="s">
        <v>36</v>
      </c>
    </row>
    <row r="61" spans="1:29">
      <c r="O61" s="334" t="s">
        <v>36</v>
      </c>
    </row>
  </sheetData>
  <mergeCells count="6">
    <mergeCell ref="A1:AB1"/>
    <mergeCell ref="A2:AB2"/>
    <mergeCell ref="A3:AB3"/>
    <mergeCell ref="AB5:AC5"/>
    <mergeCell ref="B5:L5"/>
    <mergeCell ref="N5:V5"/>
  </mergeCells>
  <phoneticPr fontId="0" type="noConversion"/>
  <printOptions horizontalCentered="1"/>
  <pageMargins left="0.39370078740157483" right="0.39370078740157483" top="0.39370078740157483" bottom="0.39370078740157483" header="0.9055118110236221" footer="0.9055118110236221"/>
  <pageSetup paperSize="9" scale="51"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sheetPr>
    <tabColor rgb="FF66FF66"/>
    <pageSetUpPr fitToPage="1"/>
  </sheetPr>
  <dimension ref="A1:T59"/>
  <sheetViews>
    <sheetView view="pageBreakPreview" zoomScale="90" zoomScaleSheetLayoutView="90" workbookViewId="0">
      <selection activeCell="C43" activeCellId="1" sqref="E18 C43"/>
    </sheetView>
  </sheetViews>
  <sheetFormatPr defaultRowHeight="12.75"/>
  <cols>
    <col min="1" max="1" width="19.140625" style="577" bestFit="1" customWidth="1"/>
    <col min="2" max="2" width="13.85546875" style="786" bestFit="1" customWidth="1"/>
    <col min="3" max="3" width="11.42578125" style="786" bestFit="1" customWidth="1"/>
    <col min="4" max="4" width="11.28515625" style="786" customWidth="1"/>
    <col min="5" max="5" width="12.7109375" style="786" bestFit="1" customWidth="1"/>
    <col min="6" max="6" width="10" style="786" bestFit="1" customWidth="1"/>
    <col min="7" max="7" width="13.85546875" style="786" bestFit="1" customWidth="1"/>
    <col min="8" max="8" width="1.42578125" style="786" customWidth="1"/>
    <col min="9" max="9" width="13.85546875" style="786" bestFit="1" customWidth="1"/>
    <col min="10" max="10" width="11.85546875" style="786" bestFit="1" customWidth="1"/>
    <col min="11" max="12" width="12.5703125" style="786" bestFit="1" customWidth="1"/>
    <col min="13" max="13" width="10" style="786" bestFit="1" customWidth="1"/>
    <col min="14" max="14" width="13.7109375" style="786" bestFit="1" customWidth="1"/>
    <col min="15" max="15" width="1.140625" style="786" customWidth="1"/>
    <col min="16" max="16" width="14.7109375" style="786" bestFit="1" customWidth="1"/>
    <col min="17" max="17" width="1.42578125" style="786" customWidth="1"/>
    <col min="18" max="18" width="9.42578125" style="786" bestFit="1" customWidth="1"/>
    <col min="19" max="19" width="3" style="577" customWidth="1"/>
    <col min="20" max="20" width="14" style="577" bestFit="1" customWidth="1"/>
    <col min="21" max="16384" width="9.140625" style="577"/>
  </cols>
  <sheetData>
    <row r="1" spans="1:19">
      <c r="A1" s="1759" t="s">
        <v>795</v>
      </c>
      <c r="B1" s="1759"/>
      <c r="C1" s="1759"/>
      <c r="D1" s="1759"/>
      <c r="E1" s="1759"/>
      <c r="F1" s="1759"/>
      <c r="G1" s="1759"/>
      <c r="H1" s="1759"/>
      <c r="I1" s="1759"/>
      <c r="J1" s="1759"/>
      <c r="K1" s="1759"/>
      <c r="L1" s="1759"/>
      <c r="M1" s="1759"/>
      <c r="N1" s="1759"/>
      <c r="O1" s="1759"/>
      <c r="P1" s="1759"/>
      <c r="Q1" s="1759"/>
      <c r="R1" s="1759"/>
    </row>
    <row r="2" spans="1:19">
      <c r="A2" s="1759" t="s">
        <v>1691</v>
      </c>
      <c r="B2" s="1759"/>
      <c r="C2" s="1759"/>
      <c r="D2" s="1759"/>
      <c r="E2" s="1759"/>
      <c r="F2" s="1759"/>
      <c r="G2" s="1759"/>
      <c r="H2" s="1759"/>
      <c r="I2" s="1759"/>
      <c r="J2" s="1759"/>
      <c r="K2" s="1759"/>
      <c r="L2" s="1759"/>
      <c r="M2" s="1759"/>
      <c r="N2" s="1759"/>
      <c r="O2" s="1759"/>
      <c r="P2" s="1759"/>
      <c r="Q2" s="1759"/>
      <c r="R2" s="1759"/>
    </row>
    <row r="3" spans="1:19">
      <c r="A3" s="1759" t="s">
        <v>2101</v>
      </c>
      <c r="B3" s="1759"/>
      <c r="C3" s="1759"/>
      <c r="D3" s="1759"/>
      <c r="E3" s="1759"/>
      <c r="F3" s="1759"/>
      <c r="G3" s="1759"/>
      <c r="H3" s="1759"/>
      <c r="I3" s="1759"/>
      <c r="J3" s="1759"/>
      <c r="K3" s="1759"/>
      <c r="L3" s="1759"/>
      <c r="M3" s="1759"/>
      <c r="N3" s="1759"/>
      <c r="O3" s="1759"/>
      <c r="P3" s="1759"/>
      <c r="Q3" s="1759"/>
      <c r="R3" s="1759"/>
    </row>
    <row r="5" spans="1:19">
      <c r="A5" s="297"/>
      <c r="B5" s="1765" t="s">
        <v>505</v>
      </c>
      <c r="C5" s="1765"/>
      <c r="D5" s="1765"/>
      <c r="E5" s="1765"/>
      <c r="F5" s="1765"/>
      <c r="G5" s="1765"/>
      <c r="H5" s="794"/>
      <c r="I5" s="1765" t="s">
        <v>506</v>
      </c>
      <c r="J5" s="1765"/>
      <c r="K5" s="1765"/>
      <c r="L5" s="1765"/>
      <c r="M5" s="1765"/>
      <c r="N5" s="1765"/>
      <c r="O5" s="794"/>
      <c r="P5" s="794"/>
      <c r="Q5" s="794"/>
      <c r="R5" s="1766"/>
      <c r="S5" s="1767"/>
    </row>
    <row r="6" spans="1:19" ht="38.25">
      <c r="A6" s="43"/>
      <c r="B6" s="40" t="s">
        <v>2102</v>
      </c>
      <c r="C6" s="40" t="s">
        <v>507</v>
      </c>
      <c r="D6" s="40" t="s">
        <v>2031</v>
      </c>
      <c r="E6" s="40" t="s">
        <v>508</v>
      </c>
      <c r="F6" s="40" t="s">
        <v>629</v>
      </c>
      <c r="G6" s="40" t="s">
        <v>2098</v>
      </c>
      <c r="H6" s="38"/>
      <c r="I6" s="40" t="s">
        <v>2099</v>
      </c>
      <c r="J6" s="40" t="s">
        <v>509</v>
      </c>
      <c r="K6" s="40" t="s">
        <v>2035</v>
      </c>
      <c r="L6" s="40" t="s">
        <v>2036</v>
      </c>
      <c r="M6" s="40" t="s">
        <v>629</v>
      </c>
      <c r="N6" s="40" t="s">
        <v>2098</v>
      </c>
      <c r="O6" s="38"/>
      <c r="P6" s="40" t="s">
        <v>510</v>
      </c>
      <c r="Q6" s="38"/>
      <c r="R6" s="40" t="s">
        <v>2100</v>
      </c>
      <c r="S6" s="47"/>
    </row>
    <row r="7" spans="1:19">
      <c r="A7" s="44"/>
      <c r="B7" s="39" t="s">
        <v>1314</v>
      </c>
      <c r="C7" s="39" t="s">
        <v>1314</v>
      </c>
      <c r="D7" s="39"/>
      <c r="E7" s="39"/>
      <c r="F7" s="39" t="s">
        <v>1314</v>
      </c>
      <c r="G7" s="39" t="s">
        <v>1314</v>
      </c>
      <c r="H7" s="39"/>
      <c r="I7" s="39" t="s">
        <v>1314</v>
      </c>
      <c r="J7" s="39" t="s">
        <v>1314</v>
      </c>
      <c r="K7" s="39"/>
      <c r="L7" s="39"/>
      <c r="M7" s="39" t="s">
        <v>1314</v>
      </c>
      <c r="N7" s="39" t="s">
        <v>1314</v>
      </c>
      <c r="O7" s="39"/>
      <c r="P7" s="39" t="s">
        <v>1314</v>
      </c>
      <c r="Q7" s="39"/>
      <c r="R7" s="39" t="s">
        <v>1314</v>
      </c>
      <c r="S7" s="45"/>
    </row>
    <row r="8" spans="1:19" ht="25.5">
      <c r="A8" s="43" t="s">
        <v>630</v>
      </c>
      <c r="B8" s="41">
        <f>B9</f>
        <v>0</v>
      </c>
      <c r="C8" s="41">
        <f>C9</f>
        <v>0</v>
      </c>
      <c r="D8" s="41"/>
      <c r="E8" s="41">
        <f>E9</f>
        <v>0</v>
      </c>
      <c r="F8" s="41">
        <f>F9</f>
        <v>0</v>
      </c>
      <c r="G8" s="41">
        <f>G9</f>
        <v>0</v>
      </c>
      <c r="H8" s="41"/>
      <c r="I8" s="41">
        <f>I9</f>
        <v>0</v>
      </c>
      <c r="J8" s="41">
        <f>J9</f>
        <v>0</v>
      </c>
      <c r="K8" s="41"/>
      <c r="L8" s="41"/>
      <c r="M8" s="41">
        <f>M9</f>
        <v>0</v>
      </c>
      <c r="N8" s="41">
        <f>N9</f>
        <v>0</v>
      </c>
      <c r="O8" s="41"/>
      <c r="P8" s="41">
        <f>P9</f>
        <v>0</v>
      </c>
      <c r="Q8" s="41"/>
      <c r="R8" s="41">
        <f>R9</f>
        <v>0</v>
      </c>
      <c r="S8" s="42"/>
    </row>
    <row r="9" spans="1:19">
      <c r="A9" s="131" t="s">
        <v>631</v>
      </c>
      <c r="B9" s="792">
        <v>0</v>
      </c>
      <c r="C9" s="792">
        <v>0</v>
      </c>
      <c r="D9" s="792"/>
      <c r="E9" s="792">
        <v>0</v>
      </c>
      <c r="F9" s="792">
        <v>0</v>
      </c>
      <c r="G9" s="792">
        <f>+B9+C9+E9-F9</f>
        <v>0</v>
      </c>
      <c r="H9" s="776"/>
      <c r="I9" s="792">
        <v>0</v>
      </c>
      <c r="J9" s="792">
        <v>0</v>
      </c>
      <c r="K9" s="792"/>
      <c r="L9" s="792"/>
      <c r="M9" s="792">
        <v>0</v>
      </c>
      <c r="N9" s="792">
        <f>+I9+J9-M9</f>
        <v>0</v>
      </c>
      <c r="O9" s="776"/>
      <c r="P9" s="792">
        <f>+G9-N9</f>
        <v>0</v>
      </c>
      <c r="Q9" s="776"/>
      <c r="R9" s="792">
        <v>0</v>
      </c>
      <c r="S9" s="784"/>
    </row>
    <row r="10" spans="1:19" ht="25.5">
      <c r="A10" s="43" t="s">
        <v>632</v>
      </c>
      <c r="B10" s="41">
        <f>SUM(B11:B23)</f>
        <v>424076</v>
      </c>
      <c r="C10" s="41">
        <f>SUM(C11:C23)</f>
        <v>157560.6</v>
      </c>
      <c r="D10" s="41">
        <f>SUM(D12)</f>
        <v>-424076</v>
      </c>
      <c r="E10" s="41">
        <f>SUM(E11:E23)</f>
        <v>0</v>
      </c>
      <c r="F10" s="41">
        <f>SUM(F11:F23)</f>
        <v>0</v>
      </c>
      <c r="G10" s="41">
        <f>SUM(G11:G23)</f>
        <v>157560.59999999998</v>
      </c>
      <c r="H10" s="41"/>
      <c r="I10" s="41">
        <f>SUM(I11:I23)</f>
        <v>251982.22</v>
      </c>
      <c r="J10" s="41">
        <f>SUM(J11:J23)</f>
        <v>70603.319999999992</v>
      </c>
      <c r="K10" s="41">
        <f>SUM(K12)</f>
        <v>0</v>
      </c>
      <c r="L10" s="41"/>
      <c r="M10" s="41">
        <f>SUM(M11:M23)</f>
        <v>0</v>
      </c>
      <c r="N10" s="41">
        <f>SUM(N11:N23)</f>
        <v>70603.539999999979</v>
      </c>
      <c r="O10" s="41"/>
      <c r="P10" s="41">
        <f>SUM(P11:P23)</f>
        <v>86957.06</v>
      </c>
      <c r="Q10" s="41"/>
      <c r="R10" s="41">
        <f>SUM(R11:R23)</f>
        <v>0</v>
      </c>
      <c r="S10" s="42"/>
    </row>
    <row r="11" spans="1:19">
      <c r="A11" s="131" t="s">
        <v>633</v>
      </c>
      <c r="B11" s="775">
        <v>0</v>
      </c>
      <c r="C11" s="775">
        <v>0</v>
      </c>
      <c r="D11" s="775"/>
      <c r="E11" s="775">
        <v>0</v>
      </c>
      <c r="F11" s="775">
        <v>0</v>
      </c>
      <c r="G11" s="775">
        <f>+B11+C11+E11-F11</f>
        <v>0</v>
      </c>
      <c r="H11" s="776"/>
      <c r="I11" s="775">
        <v>0</v>
      </c>
      <c r="J11" s="775">
        <v>0</v>
      </c>
      <c r="K11" s="775"/>
      <c r="L11" s="775"/>
      <c r="M11" s="775">
        <v>0</v>
      </c>
      <c r="N11" s="775">
        <f>+I11+J11-M11</f>
        <v>0</v>
      </c>
      <c r="O11" s="776"/>
      <c r="P11" s="775">
        <f>+G11-N11</f>
        <v>0</v>
      </c>
      <c r="Q11" s="776"/>
      <c r="R11" s="775">
        <v>0</v>
      </c>
      <c r="S11" s="784"/>
    </row>
    <row r="12" spans="1:19" ht="25.5">
      <c r="A12" s="131" t="s">
        <v>634</v>
      </c>
      <c r="B12" s="778">
        <f>700+423376</f>
        <v>424076</v>
      </c>
      <c r="C12" s="778">
        <f>143500+14060.6</f>
        <v>157560.6</v>
      </c>
      <c r="D12" s="778">
        <v>-424076</v>
      </c>
      <c r="E12" s="778">
        <v>0</v>
      </c>
      <c r="F12" s="778">
        <v>0</v>
      </c>
      <c r="G12" s="778">
        <f>SUM(B12:F12)</f>
        <v>157560.59999999998</v>
      </c>
      <c r="H12" s="776"/>
      <c r="I12" s="778">
        <f>138.22+141264+110580</f>
        <v>251982.22</v>
      </c>
      <c r="J12" s="778">
        <f>35855.34+28700+6047.98</f>
        <v>70603.319999999992</v>
      </c>
      <c r="K12" s="778">
        <v>0</v>
      </c>
      <c r="L12" s="778">
        <v>-251982</v>
      </c>
      <c r="M12" s="778">
        <v>0</v>
      </c>
      <c r="N12" s="778">
        <f>I12+J12+L12</f>
        <v>70603.539999999979</v>
      </c>
      <c r="O12" s="776"/>
      <c r="P12" s="778">
        <f>+G12-N12</f>
        <v>86957.06</v>
      </c>
      <c r="Q12" s="776"/>
      <c r="R12" s="778">
        <v>0</v>
      </c>
      <c r="S12" s="784"/>
    </row>
    <row r="13" spans="1:19">
      <c r="A13" s="131" t="s">
        <v>769</v>
      </c>
      <c r="B13" s="778">
        <v>0</v>
      </c>
      <c r="C13" s="778">
        <v>0</v>
      </c>
      <c r="D13" s="778"/>
      <c r="E13" s="778">
        <v>0</v>
      </c>
      <c r="F13" s="778">
        <v>0</v>
      </c>
      <c r="G13" s="778">
        <f>+B13+C13+E13-F13</f>
        <v>0</v>
      </c>
      <c r="H13" s="776"/>
      <c r="I13" s="778">
        <v>0</v>
      </c>
      <c r="J13" s="778">
        <v>0</v>
      </c>
      <c r="K13" s="778"/>
      <c r="L13" s="778"/>
      <c r="M13" s="778">
        <v>0</v>
      </c>
      <c r="N13" s="778">
        <f>+I13+J13-M13</f>
        <v>0</v>
      </c>
      <c r="O13" s="776"/>
      <c r="P13" s="778">
        <f>+G13-N13</f>
        <v>0</v>
      </c>
      <c r="Q13" s="776"/>
      <c r="R13" s="778">
        <v>0</v>
      </c>
      <c r="S13" s="784"/>
    </row>
    <row r="14" spans="1:19">
      <c r="A14" s="131" t="s">
        <v>770</v>
      </c>
      <c r="B14" s="778">
        <v>0</v>
      </c>
      <c r="C14" s="778">
        <v>0</v>
      </c>
      <c r="D14" s="778"/>
      <c r="E14" s="778">
        <v>0</v>
      </c>
      <c r="F14" s="778">
        <v>0</v>
      </c>
      <c r="G14" s="778">
        <f>+B14+C14+E14-F14</f>
        <v>0</v>
      </c>
      <c r="H14" s="776"/>
      <c r="I14" s="778">
        <v>0</v>
      </c>
      <c r="J14" s="778">
        <v>0</v>
      </c>
      <c r="K14" s="778"/>
      <c r="L14" s="778"/>
      <c r="M14" s="778">
        <v>0</v>
      </c>
      <c r="N14" s="778">
        <f>+I14+J14-M14</f>
        <v>0</v>
      </c>
      <c r="O14" s="776"/>
      <c r="P14" s="778">
        <f>+G14-N14</f>
        <v>0</v>
      </c>
      <c r="Q14" s="776"/>
      <c r="R14" s="778">
        <v>0</v>
      </c>
      <c r="S14" s="784"/>
    </row>
    <row r="15" spans="1:19">
      <c r="A15" s="131" t="s">
        <v>642</v>
      </c>
      <c r="B15" s="778">
        <v>0</v>
      </c>
      <c r="C15" s="778">
        <v>0</v>
      </c>
      <c r="D15" s="778"/>
      <c r="E15" s="778">
        <v>0</v>
      </c>
      <c r="F15" s="778">
        <v>0</v>
      </c>
      <c r="G15" s="778">
        <f t="shared" ref="G15:G22" si="0">+B15+C15+E15-F15</f>
        <v>0</v>
      </c>
      <c r="H15" s="776"/>
      <c r="I15" s="778">
        <v>0</v>
      </c>
      <c r="J15" s="778">
        <v>0</v>
      </c>
      <c r="K15" s="778"/>
      <c r="L15" s="778"/>
      <c r="M15" s="778">
        <v>0</v>
      </c>
      <c r="N15" s="778">
        <f t="shared" ref="N15:N22" si="1">+I15+J15-M15</f>
        <v>0</v>
      </c>
      <c r="O15" s="776"/>
      <c r="P15" s="778">
        <f t="shared" ref="P15:P22" si="2">+G15-N15</f>
        <v>0</v>
      </c>
      <c r="Q15" s="776"/>
      <c r="R15" s="778">
        <v>0</v>
      </c>
      <c r="S15" s="784"/>
    </row>
    <row r="16" spans="1:19">
      <c r="A16" s="131" t="s">
        <v>643</v>
      </c>
      <c r="B16" s="778">
        <v>0</v>
      </c>
      <c r="C16" s="778">
        <v>0</v>
      </c>
      <c r="D16" s="778"/>
      <c r="E16" s="778">
        <v>0</v>
      </c>
      <c r="F16" s="778">
        <v>0</v>
      </c>
      <c r="G16" s="778">
        <f t="shared" si="0"/>
        <v>0</v>
      </c>
      <c r="H16" s="776"/>
      <c r="I16" s="778">
        <v>0</v>
      </c>
      <c r="J16" s="778">
        <v>0</v>
      </c>
      <c r="K16" s="778"/>
      <c r="L16" s="778"/>
      <c r="M16" s="778">
        <v>0</v>
      </c>
      <c r="N16" s="778">
        <f t="shared" si="1"/>
        <v>0</v>
      </c>
      <c r="O16" s="776"/>
      <c r="P16" s="778">
        <f t="shared" si="2"/>
        <v>0</v>
      </c>
      <c r="Q16" s="776"/>
      <c r="R16" s="778">
        <v>0</v>
      </c>
      <c r="S16" s="784"/>
    </row>
    <row r="17" spans="1:20">
      <c r="A17" s="131" t="s">
        <v>644</v>
      </c>
      <c r="B17" s="778">
        <v>0</v>
      </c>
      <c r="C17" s="778">
        <v>0</v>
      </c>
      <c r="D17" s="778"/>
      <c r="E17" s="778">
        <v>0</v>
      </c>
      <c r="F17" s="778">
        <v>0</v>
      </c>
      <c r="G17" s="778">
        <f t="shared" si="0"/>
        <v>0</v>
      </c>
      <c r="H17" s="776"/>
      <c r="I17" s="778">
        <v>0</v>
      </c>
      <c r="J17" s="778">
        <v>0</v>
      </c>
      <c r="K17" s="778"/>
      <c r="L17" s="778"/>
      <c r="M17" s="778">
        <v>0</v>
      </c>
      <c r="N17" s="778">
        <f t="shared" si="1"/>
        <v>0</v>
      </c>
      <c r="O17" s="776"/>
      <c r="P17" s="778">
        <f t="shared" si="2"/>
        <v>0</v>
      </c>
      <c r="Q17" s="776"/>
      <c r="R17" s="778">
        <v>0</v>
      </c>
      <c r="S17" s="784"/>
    </row>
    <row r="18" spans="1:20">
      <c r="A18" s="131" t="s">
        <v>823</v>
      </c>
      <c r="B18" s="778">
        <v>0</v>
      </c>
      <c r="C18" s="778">
        <v>0</v>
      </c>
      <c r="D18" s="778"/>
      <c r="E18" s="778">
        <v>0</v>
      </c>
      <c r="F18" s="778">
        <v>0</v>
      </c>
      <c r="G18" s="778">
        <f t="shared" si="0"/>
        <v>0</v>
      </c>
      <c r="H18" s="776"/>
      <c r="I18" s="778">
        <v>0</v>
      </c>
      <c r="J18" s="778">
        <v>0</v>
      </c>
      <c r="K18" s="778"/>
      <c r="L18" s="778"/>
      <c r="M18" s="778">
        <v>0</v>
      </c>
      <c r="N18" s="778">
        <f t="shared" si="1"/>
        <v>0</v>
      </c>
      <c r="O18" s="776"/>
      <c r="P18" s="778">
        <f t="shared" si="2"/>
        <v>0</v>
      </c>
      <c r="Q18" s="776"/>
      <c r="R18" s="778">
        <v>0</v>
      </c>
      <c r="S18" s="784"/>
    </row>
    <row r="19" spans="1:20">
      <c r="A19" s="131" t="s">
        <v>645</v>
      </c>
      <c r="B19" s="778">
        <v>0</v>
      </c>
      <c r="C19" s="778">
        <v>0</v>
      </c>
      <c r="D19" s="778"/>
      <c r="E19" s="778">
        <v>0</v>
      </c>
      <c r="F19" s="778">
        <v>0</v>
      </c>
      <c r="G19" s="778">
        <f t="shared" si="0"/>
        <v>0</v>
      </c>
      <c r="H19" s="776"/>
      <c r="I19" s="778">
        <v>0</v>
      </c>
      <c r="J19" s="778">
        <v>0</v>
      </c>
      <c r="K19" s="778"/>
      <c r="L19" s="778"/>
      <c r="M19" s="778">
        <v>0</v>
      </c>
      <c r="N19" s="778">
        <f t="shared" si="1"/>
        <v>0</v>
      </c>
      <c r="O19" s="776"/>
      <c r="P19" s="778">
        <f t="shared" si="2"/>
        <v>0</v>
      </c>
      <c r="Q19" s="776"/>
      <c r="R19" s="778">
        <v>0</v>
      </c>
      <c r="S19" s="784"/>
    </row>
    <row r="20" spans="1:20">
      <c r="A20" s="131" t="s">
        <v>331</v>
      </c>
      <c r="B20" s="778">
        <v>0</v>
      </c>
      <c r="C20" s="778">
        <v>0</v>
      </c>
      <c r="D20" s="778"/>
      <c r="E20" s="778">
        <v>0</v>
      </c>
      <c r="F20" s="778">
        <v>0</v>
      </c>
      <c r="G20" s="778">
        <f t="shared" si="0"/>
        <v>0</v>
      </c>
      <c r="H20" s="776"/>
      <c r="I20" s="778">
        <v>0</v>
      </c>
      <c r="J20" s="778">
        <v>0</v>
      </c>
      <c r="K20" s="778"/>
      <c r="L20" s="778"/>
      <c r="M20" s="778">
        <v>0</v>
      </c>
      <c r="N20" s="778">
        <f t="shared" si="1"/>
        <v>0</v>
      </c>
      <c r="O20" s="776"/>
      <c r="P20" s="778">
        <f t="shared" si="2"/>
        <v>0</v>
      </c>
      <c r="Q20" s="776"/>
      <c r="R20" s="778">
        <v>0</v>
      </c>
      <c r="S20" s="784"/>
    </row>
    <row r="21" spans="1:20">
      <c r="A21" s="131" t="s">
        <v>491</v>
      </c>
      <c r="B21" s="778">
        <v>0</v>
      </c>
      <c r="C21" s="778">
        <v>0</v>
      </c>
      <c r="D21" s="778"/>
      <c r="E21" s="778">
        <v>0</v>
      </c>
      <c r="F21" s="778">
        <v>0</v>
      </c>
      <c r="G21" s="778">
        <f t="shared" si="0"/>
        <v>0</v>
      </c>
      <c r="H21" s="776"/>
      <c r="I21" s="778">
        <v>0</v>
      </c>
      <c r="J21" s="778">
        <v>0</v>
      </c>
      <c r="K21" s="778"/>
      <c r="L21" s="778"/>
      <c r="M21" s="778">
        <v>0</v>
      </c>
      <c r="N21" s="778">
        <f t="shared" si="1"/>
        <v>0</v>
      </c>
      <c r="O21" s="776"/>
      <c r="P21" s="778">
        <f t="shared" si="2"/>
        <v>0</v>
      </c>
      <c r="Q21" s="776"/>
      <c r="R21" s="778">
        <v>0</v>
      </c>
      <c r="S21" s="784"/>
    </row>
    <row r="22" spans="1:20">
      <c r="A22" s="131" t="s">
        <v>332</v>
      </c>
      <c r="B22" s="778">
        <v>0</v>
      </c>
      <c r="C22" s="778">
        <v>0</v>
      </c>
      <c r="D22" s="778"/>
      <c r="E22" s="778">
        <v>0</v>
      </c>
      <c r="F22" s="778">
        <v>0</v>
      </c>
      <c r="G22" s="778">
        <f t="shared" si="0"/>
        <v>0</v>
      </c>
      <c r="H22" s="776"/>
      <c r="I22" s="778">
        <v>0</v>
      </c>
      <c r="J22" s="778">
        <v>0</v>
      </c>
      <c r="K22" s="778"/>
      <c r="L22" s="778"/>
      <c r="M22" s="778">
        <v>0</v>
      </c>
      <c r="N22" s="778">
        <f t="shared" si="1"/>
        <v>0</v>
      </c>
      <c r="O22" s="776"/>
      <c r="P22" s="778">
        <f t="shared" si="2"/>
        <v>0</v>
      </c>
      <c r="Q22" s="776"/>
      <c r="R22" s="778">
        <v>0</v>
      </c>
      <c r="S22" s="784"/>
    </row>
    <row r="23" spans="1:20">
      <c r="A23" s="131" t="s">
        <v>771</v>
      </c>
      <c r="B23" s="781">
        <v>0</v>
      </c>
      <c r="C23" s="781">
        <v>0</v>
      </c>
      <c r="D23" s="781"/>
      <c r="E23" s="781">
        <v>0</v>
      </c>
      <c r="F23" s="781">
        <v>0</v>
      </c>
      <c r="G23" s="781">
        <f>+B23+C23+E23-F23</f>
        <v>0</v>
      </c>
      <c r="H23" s="776"/>
      <c r="I23" s="781">
        <v>0</v>
      </c>
      <c r="J23" s="781">
        <v>0</v>
      </c>
      <c r="K23" s="781"/>
      <c r="L23" s="781"/>
      <c r="M23" s="781">
        <v>0</v>
      </c>
      <c r="N23" s="781">
        <f>+I23+J23-M23</f>
        <v>0</v>
      </c>
      <c r="O23" s="780"/>
      <c r="P23" s="781">
        <f>+G23-N23</f>
        <v>0</v>
      </c>
      <c r="Q23" s="776"/>
      <c r="R23" s="781">
        <v>0</v>
      </c>
      <c r="S23" s="784"/>
    </row>
    <row r="24" spans="1:20" ht="25.5">
      <c r="A24" s="43" t="s">
        <v>772</v>
      </c>
      <c r="B24" s="41">
        <f>B25</f>
        <v>0</v>
      </c>
      <c r="C24" s="41">
        <f>C25</f>
        <v>0</v>
      </c>
      <c r="D24" s="41"/>
      <c r="E24" s="41">
        <f>E25</f>
        <v>0</v>
      </c>
      <c r="F24" s="41">
        <f>F25</f>
        <v>0</v>
      </c>
      <c r="G24" s="41">
        <f>G25</f>
        <v>0</v>
      </c>
      <c r="H24" s="41"/>
      <c r="I24" s="41">
        <f>I25</f>
        <v>0</v>
      </c>
      <c r="J24" s="41">
        <f>J25</f>
        <v>0</v>
      </c>
      <c r="K24" s="41"/>
      <c r="L24" s="41"/>
      <c r="M24" s="41">
        <f>M25</f>
        <v>0</v>
      </c>
      <c r="N24" s="41">
        <f>N25</f>
        <v>0</v>
      </c>
      <c r="O24" s="39"/>
      <c r="P24" s="41">
        <f>P25</f>
        <v>0</v>
      </c>
      <c r="Q24" s="41"/>
      <c r="R24" s="41">
        <f>R25</f>
        <v>0</v>
      </c>
      <c r="S24" s="42"/>
    </row>
    <row r="25" spans="1:20">
      <c r="A25" s="131" t="s">
        <v>646</v>
      </c>
      <c r="B25" s="775">
        <v>0</v>
      </c>
      <c r="C25" s="775">
        <v>0</v>
      </c>
      <c r="D25" s="775"/>
      <c r="E25" s="775">
        <v>0</v>
      </c>
      <c r="F25" s="775">
        <v>0</v>
      </c>
      <c r="G25" s="775">
        <f>+B25+C25+E25-F25</f>
        <v>0</v>
      </c>
      <c r="H25" s="776"/>
      <c r="I25" s="775">
        <v>0</v>
      </c>
      <c r="J25" s="775">
        <v>0</v>
      </c>
      <c r="K25" s="775"/>
      <c r="L25" s="775"/>
      <c r="M25" s="775">
        <v>0</v>
      </c>
      <c r="N25" s="775">
        <f>+I25+J25-M25</f>
        <v>0</v>
      </c>
      <c r="O25" s="776"/>
      <c r="P25" s="775">
        <f>+G25-N25</f>
        <v>0</v>
      </c>
      <c r="Q25" s="776"/>
      <c r="R25" s="775">
        <v>0</v>
      </c>
      <c r="S25" s="784"/>
      <c r="T25" s="772"/>
    </row>
    <row r="26" spans="1:20" ht="25.5">
      <c r="A26" s="131" t="s">
        <v>773</v>
      </c>
      <c r="B26" s="781">
        <v>0</v>
      </c>
      <c r="C26" s="781">
        <v>0</v>
      </c>
      <c r="D26" s="781"/>
      <c r="E26" s="781">
        <v>0</v>
      </c>
      <c r="F26" s="781">
        <v>0</v>
      </c>
      <c r="G26" s="781">
        <f>+B26+C26+E26-F26</f>
        <v>0</v>
      </c>
      <c r="H26" s="776"/>
      <c r="I26" s="781">
        <v>0</v>
      </c>
      <c r="J26" s="781">
        <v>0</v>
      </c>
      <c r="K26" s="781"/>
      <c r="L26" s="781"/>
      <c r="M26" s="781">
        <v>0</v>
      </c>
      <c r="N26" s="781">
        <f>+I26+J26-M26</f>
        <v>0</v>
      </c>
      <c r="O26" s="776"/>
      <c r="P26" s="781">
        <f>+G26-N26</f>
        <v>0</v>
      </c>
      <c r="Q26" s="776"/>
      <c r="R26" s="781">
        <v>0</v>
      </c>
      <c r="S26" s="784"/>
    </row>
    <row r="27" spans="1:20">
      <c r="A27" s="43" t="s">
        <v>774</v>
      </c>
      <c r="B27" s="41">
        <f>SUM(B28:B30)</f>
        <v>0</v>
      </c>
      <c r="C27" s="41">
        <f>SUM(C28:C30)</f>
        <v>0</v>
      </c>
      <c r="D27" s="41"/>
      <c r="E27" s="41">
        <f>SUM(E28:E30)</f>
        <v>0</v>
      </c>
      <c r="F27" s="41">
        <f>SUM(F28:F30)</f>
        <v>0</v>
      </c>
      <c r="G27" s="41">
        <f>SUM(G28:G30)</f>
        <v>0</v>
      </c>
      <c r="H27" s="41"/>
      <c r="I27" s="41">
        <f t="shared" ref="I27:P27" si="3">SUM(I28:I30)</f>
        <v>0</v>
      </c>
      <c r="J27" s="41">
        <f t="shared" si="3"/>
        <v>0</v>
      </c>
      <c r="K27" s="41"/>
      <c r="L27" s="41"/>
      <c r="M27" s="41">
        <f>SUM(M28:M30)</f>
        <v>0</v>
      </c>
      <c r="N27" s="41">
        <f t="shared" si="3"/>
        <v>0</v>
      </c>
      <c r="O27" s="41">
        <f t="shared" si="3"/>
        <v>0</v>
      </c>
      <c r="P27" s="41">
        <f t="shared" si="3"/>
        <v>0</v>
      </c>
      <c r="Q27" s="41"/>
      <c r="R27" s="41">
        <f>SUM(R28:R30)</f>
        <v>0</v>
      </c>
      <c r="S27" s="42"/>
    </row>
    <row r="28" spans="1:20" ht="25.5">
      <c r="A28" s="131" t="s">
        <v>775</v>
      </c>
      <c r="B28" s="775">
        <v>0</v>
      </c>
      <c r="C28" s="775">
        <v>0</v>
      </c>
      <c r="D28" s="775"/>
      <c r="E28" s="775">
        <v>0</v>
      </c>
      <c r="F28" s="775">
        <v>0</v>
      </c>
      <c r="G28" s="775">
        <f>+B28+C28+E28-F28</f>
        <v>0</v>
      </c>
      <c r="H28" s="776"/>
      <c r="I28" s="775">
        <v>0</v>
      </c>
      <c r="J28" s="775">
        <v>0</v>
      </c>
      <c r="K28" s="775"/>
      <c r="L28" s="775"/>
      <c r="M28" s="775">
        <v>0</v>
      </c>
      <c r="N28" s="775">
        <f>+I28+J28-M28</f>
        <v>0</v>
      </c>
      <c r="O28" s="776"/>
      <c r="P28" s="775">
        <f>+G28-N28</f>
        <v>0</v>
      </c>
      <c r="Q28" s="776"/>
      <c r="R28" s="775">
        <v>0</v>
      </c>
      <c r="S28" s="784"/>
    </row>
    <row r="29" spans="1:20">
      <c r="A29" s="131" t="s">
        <v>776</v>
      </c>
      <c r="B29" s="778">
        <v>0</v>
      </c>
      <c r="C29" s="778">
        <v>0</v>
      </c>
      <c r="D29" s="778"/>
      <c r="E29" s="778">
        <v>0</v>
      </c>
      <c r="F29" s="778">
        <v>0</v>
      </c>
      <c r="G29" s="778">
        <f>+B29+C29+E29-F29</f>
        <v>0</v>
      </c>
      <c r="H29" s="776"/>
      <c r="I29" s="778">
        <v>0</v>
      </c>
      <c r="J29" s="778">
        <v>0</v>
      </c>
      <c r="K29" s="778"/>
      <c r="L29" s="778"/>
      <c r="M29" s="778">
        <v>0</v>
      </c>
      <c r="N29" s="778">
        <f>+I29+J29-M29</f>
        <v>0</v>
      </c>
      <c r="O29" s="776"/>
      <c r="P29" s="778">
        <f>+G29-N29</f>
        <v>0</v>
      </c>
      <c r="Q29" s="776"/>
      <c r="R29" s="778">
        <v>0</v>
      </c>
      <c r="S29" s="784"/>
    </row>
    <row r="30" spans="1:20">
      <c r="A30" s="131" t="s">
        <v>777</v>
      </c>
      <c r="B30" s="781">
        <v>0</v>
      </c>
      <c r="C30" s="781">
        <v>0</v>
      </c>
      <c r="D30" s="781"/>
      <c r="E30" s="781">
        <v>0</v>
      </c>
      <c r="F30" s="781">
        <v>0</v>
      </c>
      <c r="G30" s="781">
        <f>+B30+C30+E30-F30</f>
        <v>0</v>
      </c>
      <c r="H30" s="776"/>
      <c r="I30" s="781">
        <v>0</v>
      </c>
      <c r="J30" s="781">
        <v>0</v>
      </c>
      <c r="K30" s="781"/>
      <c r="L30" s="781"/>
      <c r="M30" s="781">
        <v>0</v>
      </c>
      <c r="N30" s="781">
        <f>+I30+J30-M30</f>
        <v>0</v>
      </c>
      <c r="O30" s="776"/>
      <c r="P30" s="781">
        <f>+G30-N30</f>
        <v>0</v>
      </c>
      <c r="Q30" s="776"/>
      <c r="R30" s="781">
        <v>0</v>
      </c>
      <c r="S30" s="784"/>
    </row>
    <row r="31" spans="1:20">
      <c r="A31" s="43" t="s">
        <v>778</v>
      </c>
      <c r="B31" s="41">
        <f>SUM(B32:B34)</f>
        <v>0</v>
      </c>
      <c r="C31" s="41">
        <f>SUM(C32:C34)</f>
        <v>0</v>
      </c>
      <c r="D31" s="41"/>
      <c r="E31" s="41">
        <f>SUM(E32:E34)</f>
        <v>0</v>
      </c>
      <c r="F31" s="41">
        <f>SUM(F32:F34)</f>
        <v>0</v>
      </c>
      <c r="G31" s="41">
        <f>SUM(G32:G34)</f>
        <v>0</v>
      </c>
      <c r="H31" s="41"/>
      <c r="I31" s="41">
        <f>SUM(I32:I34)</f>
        <v>0</v>
      </c>
      <c r="J31" s="41">
        <f>SUM(J32:J34)</f>
        <v>0</v>
      </c>
      <c r="K31" s="41"/>
      <c r="L31" s="41"/>
      <c r="M31" s="41">
        <f>SUM(M32:M34)</f>
        <v>0</v>
      </c>
      <c r="N31" s="41">
        <f>SUM(N32:N34)</f>
        <v>0</v>
      </c>
      <c r="O31" s="41"/>
      <c r="P31" s="41">
        <f>SUM(P32:P34)</f>
        <v>0</v>
      </c>
      <c r="Q31" s="41"/>
      <c r="R31" s="41">
        <f>SUM(R32:R34)</f>
        <v>0</v>
      </c>
      <c r="S31" s="42"/>
    </row>
    <row r="32" spans="1:20">
      <c r="A32" s="131" t="s">
        <v>523</v>
      </c>
      <c r="B32" s="775">
        <v>0</v>
      </c>
      <c r="C32" s="775">
        <v>0</v>
      </c>
      <c r="D32" s="775"/>
      <c r="E32" s="775">
        <v>0</v>
      </c>
      <c r="F32" s="775">
        <v>0</v>
      </c>
      <c r="G32" s="775">
        <f>+B32+C32+E32-F32</f>
        <v>0</v>
      </c>
      <c r="H32" s="776"/>
      <c r="I32" s="775">
        <v>0</v>
      </c>
      <c r="J32" s="775">
        <v>0</v>
      </c>
      <c r="K32" s="775"/>
      <c r="L32" s="775"/>
      <c r="M32" s="775">
        <v>0</v>
      </c>
      <c r="N32" s="775">
        <f t="shared" ref="N32:N54" si="4">+I32+J32-M32</f>
        <v>0</v>
      </c>
      <c r="O32" s="776"/>
      <c r="P32" s="775">
        <f>+G32-N32</f>
        <v>0</v>
      </c>
      <c r="Q32" s="776"/>
      <c r="R32" s="775">
        <v>0</v>
      </c>
      <c r="S32" s="784"/>
    </row>
    <row r="33" spans="1:19">
      <c r="A33" s="131" t="s">
        <v>647</v>
      </c>
      <c r="B33" s="778">
        <v>0</v>
      </c>
      <c r="C33" s="778">
        <v>0</v>
      </c>
      <c r="D33" s="778"/>
      <c r="E33" s="778">
        <v>0</v>
      </c>
      <c r="F33" s="778">
        <v>0</v>
      </c>
      <c r="G33" s="778">
        <f>+B33+C33+E33-F33</f>
        <v>0</v>
      </c>
      <c r="H33" s="776"/>
      <c r="I33" s="778">
        <v>0</v>
      </c>
      <c r="J33" s="778">
        <v>0</v>
      </c>
      <c r="K33" s="778"/>
      <c r="L33" s="778"/>
      <c r="M33" s="778">
        <v>0</v>
      </c>
      <c r="N33" s="778">
        <f>+I33+J33-M33</f>
        <v>0</v>
      </c>
      <c r="O33" s="776"/>
      <c r="P33" s="778">
        <f>+G33-N33</f>
        <v>0</v>
      </c>
      <c r="Q33" s="776"/>
      <c r="R33" s="778">
        <v>0</v>
      </c>
      <c r="S33" s="784"/>
    </row>
    <row r="34" spans="1:19">
      <c r="A34" s="131" t="s">
        <v>806</v>
      </c>
      <c r="B34" s="781">
        <v>0</v>
      </c>
      <c r="C34" s="781">
        <v>0</v>
      </c>
      <c r="D34" s="781"/>
      <c r="E34" s="781">
        <v>0</v>
      </c>
      <c r="F34" s="781">
        <v>0</v>
      </c>
      <c r="G34" s="781">
        <f>+B34+C34+E34-F34</f>
        <v>0</v>
      </c>
      <c r="H34" s="776"/>
      <c r="I34" s="781">
        <v>0</v>
      </c>
      <c r="J34" s="781">
        <v>0</v>
      </c>
      <c r="K34" s="781"/>
      <c r="L34" s="781"/>
      <c r="M34" s="781">
        <v>0</v>
      </c>
      <c r="N34" s="781">
        <f t="shared" si="4"/>
        <v>0</v>
      </c>
      <c r="O34" s="776"/>
      <c r="P34" s="781">
        <f>+G34-N34</f>
        <v>0</v>
      </c>
      <c r="Q34" s="776"/>
      <c r="R34" s="781">
        <v>0</v>
      </c>
      <c r="S34" s="784"/>
    </row>
    <row r="35" spans="1:19" ht="25.5">
      <c r="A35" s="43" t="s">
        <v>779</v>
      </c>
      <c r="B35" s="41">
        <f>SUM(B36:B39)</f>
        <v>0</v>
      </c>
      <c r="C35" s="41">
        <f>SUM(C36:C39)</f>
        <v>0</v>
      </c>
      <c r="D35" s="41"/>
      <c r="E35" s="41">
        <f>SUM(E36:E39)</f>
        <v>0</v>
      </c>
      <c r="F35" s="41">
        <f>SUM(F36:F39)</f>
        <v>0</v>
      </c>
      <c r="G35" s="41">
        <f>SUM(G36:G39)</f>
        <v>0</v>
      </c>
      <c r="H35" s="41"/>
      <c r="I35" s="41">
        <f>SUM(I36:I39)</f>
        <v>0</v>
      </c>
      <c r="J35" s="41">
        <f>SUM(J36:J39)</f>
        <v>0</v>
      </c>
      <c r="K35" s="41"/>
      <c r="L35" s="41"/>
      <c r="M35" s="41">
        <f>SUM(M36:M39)</f>
        <v>0</v>
      </c>
      <c r="N35" s="41">
        <f>SUM(N36:N39)</f>
        <v>0</v>
      </c>
      <c r="O35" s="41"/>
      <c r="P35" s="41">
        <f>SUM(P36:P39)</f>
        <v>0</v>
      </c>
      <c r="Q35" s="41"/>
      <c r="R35" s="41">
        <f>SUM(R36:R39)</f>
        <v>0</v>
      </c>
      <c r="S35" s="42"/>
    </row>
    <row r="36" spans="1:19">
      <c r="A36" s="131" t="s">
        <v>780</v>
      </c>
      <c r="B36" s="775">
        <v>0</v>
      </c>
      <c r="C36" s="775">
        <v>0</v>
      </c>
      <c r="D36" s="775"/>
      <c r="E36" s="775">
        <v>0</v>
      </c>
      <c r="F36" s="775">
        <v>0</v>
      </c>
      <c r="G36" s="775">
        <f>+B36+C36+E36-F36</f>
        <v>0</v>
      </c>
      <c r="H36" s="776"/>
      <c r="I36" s="775">
        <v>0</v>
      </c>
      <c r="J36" s="775">
        <v>0</v>
      </c>
      <c r="K36" s="775"/>
      <c r="L36" s="775"/>
      <c r="M36" s="775">
        <v>0</v>
      </c>
      <c r="N36" s="775">
        <f t="shared" si="4"/>
        <v>0</v>
      </c>
      <c r="O36" s="776"/>
      <c r="P36" s="775">
        <f>+G36-N36</f>
        <v>0</v>
      </c>
      <c r="Q36" s="776"/>
      <c r="R36" s="775">
        <v>0</v>
      </c>
      <c r="S36" s="784"/>
    </row>
    <row r="37" spans="1:19" ht="25.5">
      <c r="A37" s="131" t="s">
        <v>781</v>
      </c>
      <c r="B37" s="778">
        <v>0</v>
      </c>
      <c r="C37" s="778">
        <v>0</v>
      </c>
      <c r="D37" s="778"/>
      <c r="E37" s="778">
        <v>0</v>
      </c>
      <c r="F37" s="778">
        <v>0</v>
      </c>
      <c r="G37" s="778">
        <f>+B37+C37+E37-F37</f>
        <v>0</v>
      </c>
      <c r="H37" s="776"/>
      <c r="I37" s="778">
        <v>0</v>
      </c>
      <c r="J37" s="778">
        <v>0</v>
      </c>
      <c r="K37" s="778"/>
      <c r="L37" s="778"/>
      <c r="M37" s="778">
        <v>0</v>
      </c>
      <c r="N37" s="778">
        <f t="shared" si="4"/>
        <v>0</v>
      </c>
      <c r="O37" s="776"/>
      <c r="P37" s="778">
        <f>+G37-N37</f>
        <v>0</v>
      </c>
      <c r="Q37" s="776"/>
      <c r="R37" s="778">
        <v>0</v>
      </c>
      <c r="S37" s="784"/>
    </row>
    <row r="38" spans="1:19">
      <c r="A38" s="131" t="s">
        <v>329</v>
      </c>
      <c r="B38" s="778">
        <v>0</v>
      </c>
      <c r="C38" s="778">
        <v>0</v>
      </c>
      <c r="D38" s="778"/>
      <c r="E38" s="778">
        <v>0</v>
      </c>
      <c r="F38" s="778">
        <v>0</v>
      </c>
      <c r="G38" s="778">
        <f>+B38+C38+E38-F38</f>
        <v>0</v>
      </c>
      <c r="H38" s="776"/>
      <c r="I38" s="778">
        <v>0</v>
      </c>
      <c r="J38" s="778">
        <v>0</v>
      </c>
      <c r="K38" s="778"/>
      <c r="L38" s="778"/>
      <c r="M38" s="778">
        <v>0</v>
      </c>
      <c r="N38" s="778">
        <f>+I38+J38-M38</f>
        <v>0</v>
      </c>
      <c r="O38" s="776"/>
      <c r="P38" s="778">
        <f>+G38-N38</f>
        <v>0</v>
      </c>
      <c r="Q38" s="776"/>
      <c r="R38" s="778">
        <v>0</v>
      </c>
      <c r="S38" s="784"/>
    </row>
    <row r="39" spans="1:19" ht="25.5">
      <c r="A39" s="131" t="s">
        <v>782</v>
      </c>
      <c r="B39" s="781">
        <v>0</v>
      </c>
      <c r="C39" s="781">
        <v>0</v>
      </c>
      <c r="D39" s="781"/>
      <c r="E39" s="781">
        <v>0</v>
      </c>
      <c r="F39" s="781">
        <v>0</v>
      </c>
      <c r="G39" s="781">
        <f>+B39+C39+E39-F39</f>
        <v>0</v>
      </c>
      <c r="H39" s="776"/>
      <c r="I39" s="781">
        <v>0</v>
      </c>
      <c r="J39" s="781">
        <v>0</v>
      </c>
      <c r="K39" s="781"/>
      <c r="L39" s="781"/>
      <c r="M39" s="781">
        <v>0</v>
      </c>
      <c r="N39" s="781">
        <f t="shared" si="4"/>
        <v>0</v>
      </c>
      <c r="O39" s="776"/>
      <c r="P39" s="781">
        <f>+G39-N39</f>
        <v>0</v>
      </c>
      <c r="Q39" s="776"/>
      <c r="R39" s="781">
        <v>0</v>
      </c>
      <c r="S39" s="784"/>
    </row>
    <row r="40" spans="1:19">
      <c r="A40" s="43" t="s">
        <v>783</v>
      </c>
      <c r="B40" s="41">
        <f>SUM(B41:B42)</f>
        <v>0</v>
      </c>
      <c r="C40" s="41">
        <f>SUM(C41:C42)</f>
        <v>0</v>
      </c>
      <c r="D40" s="41"/>
      <c r="E40" s="41">
        <f>SUM(E41:E42)</f>
        <v>0</v>
      </c>
      <c r="F40" s="41">
        <f>SUM(F41:F42)</f>
        <v>0</v>
      </c>
      <c r="G40" s="41">
        <f>SUM(G41:G42)</f>
        <v>0</v>
      </c>
      <c r="H40" s="41"/>
      <c r="I40" s="41">
        <f t="shared" ref="I40:P40" si="5">SUM(I41:I42)</f>
        <v>0</v>
      </c>
      <c r="J40" s="41">
        <f t="shared" si="5"/>
        <v>0</v>
      </c>
      <c r="K40" s="41"/>
      <c r="L40" s="41"/>
      <c r="M40" s="41">
        <f>SUM(M41:M42)</f>
        <v>0</v>
      </c>
      <c r="N40" s="41">
        <f t="shared" si="5"/>
        <v>0</v>
      </c>
      <c r="O40" s="41">
        <f t="shared" si="5"/>
        <v>0</v>
      </c>
      <c r="P40" s="41">
        <f t="shared" si="5"/>
        <v>0</v>
      </c>
      <c r="Q40" s="41"/>
      <c r="R40" s="41">
        <f>SUM(R41:R42)</f>
        <v>0</v>
      </c>
      <c r="S40" s="42"/>
    </row>
    <row r="41" spans="1:19">
      <c r="A41" s="131" t="s">
        <v>1187</v>
      </c>
      <c r="B41" s="775">
        <v>0</v>
      </c>
      <c r="C41" s="775">
        <v>0</v>
      </c>
      <c r="D41" s="775"/>
      <c r="E41" s="775">
        <v>0</v>
      </c>
      <c r="F41" s="775">
        <v>0</v>
      </c>
      <c r="G41" s="775">
        <f>+B41+C41+E41-F41</f>
        <v>0</v>
      </c>
      <c r="H41" s="776"/>
      <c r="I41" s="775">
        <v>0</v>
      </c>
      <c r="J41" s="775">
        <v>0</v>
      </c>
      <c r="K41" s="775"/>
      <c r="L41" s="775"/>
      <c r="M41" s="775">
        <v>0</v>
      </c>
      <c r="N41" s="775">
        <v>0</v>
      </c>
      <c r="O41" s="776"/>
      <c r="P41" s="775">
        <f>+G41-N41</f>
        <v>0</v>
      </c>
      <c r="Q41" s="776"/>
      <c r="R41" s="775">
        <v>0</v>
      </c>
      <c r="S41" s="784"/>
    </row>
    <row r="42" spans="1:19">
      <c r="A42" s="131" t="s">
        <v>784</v>
      </c>
      <c r="B42" s="781">
        <v>0</v>
      </c>
      <c r="C42" s="781">
        <v>0</v>
      </c>
      <c r="D42" s="781"/>
      <c r="E42" s="781">
        <v>0</v>
      </c>
      <c r="F42" s="781">
        <v>0</v>
      </c>
      <c r="G42" s="781">
        <f>+B42+C42+E42-F42</f>
        <v>0</v>
      </c>
      <c r="H42" s="776"/>
      <c r="I42" s="781">
        <v>0</v>
      </c>
      <c r="J42" s="781">
        <v>0</v>
      </c>
      <c r="K42" s="781"/>
      <c r="L42" s="781"/>
      <c r="M42" s="781">
        <v>0</v>
      </c>
      <c r="N42" s="781">
        <f t="shared" si="4"/>
        <v>0</v>
      </c>
      <c r="O42" s="776"/>
      <c r="P42" s="781">
        <f>+G42-N42</f>
        <v>0</v>
      </c>
      <c r="Q42" s="776"/>
      <c r="R42" s="781">
        <v>0</v>
      </c>
      <c r="S42" s="784"/>
    </row>
    <row r="43" spans="1:19" ht="25.5">
      <c r="A43" s="43" t="s">
        <v>649</v>
      </c>
      <c r="B43" s="41">
        <f>B44</f>
        <v>0</v>
      </c>
      <c r="C43" s="41">
        <f>C44</f>
        <v>0</v>
      </c>
      <c r="D43" s="41"/>
      <c r="E43" s="41">
        <f>E44</f>
        <v>0</v>
      </c>
      <c r="F43" s="41">
        <f>F44</f>
        <v>0</v>
      </c>
      <c r="G43" s="41">
        <f>G44</f>
        <v>0</v>
      </c>
      <c r="H43" s="41"/>
      <c r="I43" s="41">
        <f t="shared" ref="I43:P43" si="6">I44</f>
        <v>0</v>
      </c>
      <c r="J43" s="41">
        <f t="shared" si="6"/>
        <v>0</v>
      </c>
      <c r="K43" s="41"/>
      <c r="L43" s="41"/>
      <c r="M43" s="41">
        <f t="shared" si="6"/>
        <v>0</v>
      </c>
      <c r="N43" s="41">
        <f t="shared" si="6"/>
        <v>0</v>
      </c>
      <c r="O43" s="41">
        <f t="shared" si="6"/>
        <v>0</v>
      </c>
      <c r="P43" s="41">
        <f t="shared" si="6"/>
        <v>0</v>
      </c>
      <c r="Q43" s="41"/>
      <c r="R43" s="41">
        <f>R44</f>
        <v>0</v>
      </c>
      <c r="S43" s="42"/>
    </row>
    <row r="44" spans="1:19">
      <c r="A44" s="131" t="s">
        <v>648</v>
      </c>
      <c r="B44" s="792">
        <v>0</v>
      </c>
      <c r="C44" s="792">
        <v>0</v>
      </c>
      <c r="D44" s="792"/>
      <c r="E44" s="792">
        <v>0</v>
      </c>
      <c r="F44" s="792">
        <v>0</v>
      </c>
      <c r="G44" s="792">
        <f>+B44+C44+E44-F44</f>
        <v>0</v>
      </c>
      <c r="H44" s="776"/>
      <c r="I44" s="792">
        <v>0</v>
      </c>
      <c r="J44" s="792">
        <v>0</v>
      </c>
      <c r="K44" s="792"/>
      <c r="L44" s="792"/>
      <c r="M44" s="792">
        <v>0</v>
      </c>
      <c r="N44" s="792">
        <f t="shared" si="4"/>
        <v>0</v>
      </c>
      <c r="O44" s="776"/>
      <c r="P44" s="792">
        <f>+G44-N44</f>
        <v>0</v>
      </c>
      <c r="Q44" s="776"/>
      <c r="R44" s="792">
        <v>0</v>
      </c>
      <c r="S44" s="784"/>
    </row>
    <row r="45" spans="1:19" ht="25.5">
      <c r="A45" s="43" t="s">
        <v>785</v>
      </c>
      <c r="B45" s="41">
        <f>SUM(B46:B47)</f>
        <v>0</v>
      </c>
      <c r="C45" s="41">
        <f>SUM(C46:C47)</f>
        <v>0</v>
      </c>
      <c r="D45" s="41"/>
      <c r="E45" s="41">
        <f>SUM(E46:E47)</f>
        <v>0</v>
      </c>
      <c r="F45" s="41">
        <f>SUM(F46:F47)</f>
        <v>0</v>
      </c>
      <c r="G45" s="41">
        <f>SUM(G46:G47)</f>
        <v>0</v>
      </c>
      <c r="H45" s="41"/>
      <c r="I45" s="41">
        <f>SUM(I46:I47)</f>
        <v>0</v>
      </c>
      <c r="J45" s="41">
        <f>SUM(J46:J47)</f>
        <v>0</v>
      </c>
      <c r="K45" s="41"/>
      <c r="L45" s="41"/>
      <c r="M45" s="41">
        <f>SUM(M46:M47)</f>
        <v>0</v>
      </c>
      <c r="N45" s="41">
        <f>SUM(N46:N47)</f>
        <v>0</v>
      </c>
      <c r="O45" s="41"/>
      <c r="P45" s="41">
        <f>SUM(P46:P47)</f>
        <v>0</v>
      </c>
      <c r="Q45" s="41"/>
      <c r="R45" s="41">
        <f>SUM(R46:R47)</f>
        <v>0</v>
      </c>
      <c r="S45" s="42"/>
    </row>
    <row r="46" spans="1:19">
      <c r="A46" s="131" t="s">
        <v>713</v>
      </c>
      <c r="B46" s="775">
        <v>0</v>
      </c>
      <c r="C46" s="775">
        <v>0</v>
      </c>
      <c r="D46" s="775"/>
      <c r="E46" s="775">
        <v>0</v>
      </c>
      <c r="F46" s="775">
        <v>0</v>
      </c>
      <c r="G46" s="775">
        <f>+B46+C46+E46-F46</f>
        <v>0</v>
      </c>
      <c r="H46" s="776"/>
      <c r="I46" s="775">
        <v>0</v>
      </c>
      <c r="J46" s="775">
        <v>0</v>
      </c>
      <c r="K46" s="775"/>
      <c r="L46" s="775"/>
      <c r="M46" s="775">
        <v>0</v>
      </c>
      <c r="N46" s="775">
        <f t="shared" si="4"/>
        <v>0</v>
      </c>
      <c r="O46" s="776"/>
      <c r="P46" s="775">
        <f>+G46-N46</f>
        <v>0</v>
      </c>
      <c r="Q46" s="776"/>
      <c r="R46" s="775">
        <v>0</v>
      </c>
      <c r="S46" s="784"/>
    </row>
    <row r="47" spans="1:19">
      <c r="A47" s="131" t="s">
        <v>786</v>
      </c>
      <c r="B47" s="781">
        <v>0</v>
      </c>
      <c r="C47" s="781">
        <v>0</v>
      </c>
      <c r="D47" s="781"/>
      <c r="E47" s="781">
        <v>0</v>
      </c>
      <c r="F47" s="781">
        <v>0</v>
      </c>
      <c r="G47" s="781">
        <f>+B47+C47+E47-F47</f>
        <v>0</v>
      </c>
      <c r="H47" s="776"/>
      <c r="I47" s="781">
        <v>0</v>
      </c>
      <c r="J47" s="781">
        <v>0</v>
      </c>
      <c r="K47" s="781"/>
      <c r="L47" s="781"/>
      <c r="M47" s="781">
        <v>0</v>
      </c>
      <c r="N47" s="781">
        <f t="shared" si="4"/>
        <v>0</v>
      </c>
      <c r="O47" s="776"/>
      <c r="P47" s="781">
        <f>+G47-N47</f>
        <v>0</v>
      </c>
      <c r="Q47" s="776"/>
      <c r="R47" s="781" t="s">
        <v>496</v>
      </c>
      <c r="S47" s="784"/>
    </row>
    <row r="48" spans="1:19" ht="25.5">
      <c r="A48" s="43" t="s">
        <v>787</v>
      </c>
      <c r="B48" s="41">
        <f>B49</f>
        <v>0</v>
      </c>
      <c r="C48" s="41">
        <f>C49</f>
        <v>0</v>
      </c>
      <c r="D48" s="41"/>
      <c r="E48" s="41">
        <f>E49</f>
        <v>0</v>
      </c>
      <c r="F48" s="41">
        <f>F49</f>
        <v>0</v>
      </c>
      <c r="G48" s="41">
        <f>G49</f>
        <v>0</v>
      </c>
      <c r="H48" s="41"/>
      <c r="I48" s="41">
        <f>I49</f>
        <v>0</v>
      </c>
      <c r="J48" s="41">
        <f>J49</f>
        <v>0</v>
      </c>
      <c r="K48" s="41"/>
      <c r="L48" s="41"/>
      <c r="M48" s="41">
        <f>M49</f>
        <v>0</v>
      </c>
      <c r="N48" s="41">
        <f>N49</f>
        <v>0</v>
      </c>
      <c r="O48" s="41"/>
      <c r="P48" s="41">
        <f>P49</f>
        <v>0</v>
      </c>
      <c r="Q48" s="41"/>
      <c r="R48" s="41">
        <f>R49</f>
        <v>0</v>
      </c>
      <c r="S48" s="42"/>
    </row>
    <row r="49" spans="1:19">
      <c r="A49" s="131" t="s">
        <v>788</v>
      </c>
      <c r="B49" s="792">
        <v>0</v>
      </c>
      <c r="C49" s="792">
        <v>0</v>
      </c>
      <c r="D49" s="792"/>
      <c r="E49" s="792">
        <v>0</v>
      </c>
      <c r="F49" s="792">
        <v>0</v>
      </c>
      <c r="G49" s="792">
        <f>+B49+C49+E49-F49</f>
        <v>0</v>
      </c>
      <c r="H49" s="776"/>
      <c r="I49" s="792">
        <v>0</v>
      </c>
      <c r="J49" s="792">
        <v>0</v>
      </c>
      <c r="K49" s="792"/>
      <c r="L49" s="792"/>
      <c r="M49" s="792">
        <v>0</v>
      </c>
      <c r="N49" s="792">
        <f t="shared" si="4"/>
        <v>0</v>
      </c>
      <c r="O49" s="776"/>
      <c r="P49" s="792">
        <f>+G49-N49</f>
        <v>0</v>
      </c>
      <c r="Q49" s="776"/>
      <c r="R49" s="792">
        <v>0</v>
      </c>
      <c r="S49" s="784"/>
    </row>
    <row r="50" spans="1:19">
      <c r="A50" s="43" t="s">
        <v>789</v>
      </c>
      <c r="B50" s="41">
        <f>B51</f>
        <v>0</v>
      </c>
      <c r="C50" s="41">
        <f>C51</f>
        <v>0</v>
      </c>
      <c r="D50" s="41"/>
      <c r="E50" s="41">
        <f>E51</f>
        <v>0</v>
      </c>
      <c r="F50" s="41">
        <f>F51</f>
        <v>0</v>
      </c>
      <c r="G50" s="41">
        <f>G51</f>
        <v>0</v>
      </c>
      <c r="H50" s="41"/>
      <c r="I50" s="41">
        <f>I51</f>
        <v>0</v>
      </c>
      <c r="J50" s="41">
        <f>J51</f>
        <v>0</v>
      </c>
      <c r="K50" s="41"/>
      <c r="L50" s="41"/>
      <c r="M50" s="41">
        <f>M51</f>
        <v>0</v>
      </c>
      <c r="N50" s="41">
        <f>N51</f>
        <v>0</v>
      </c>
      <c r="O50" s="41"/>
      <c r="P50" s="41">
        <f>P51</f>
        <v>0</v>
      </c>
      <c r="Q50" s="41"/>
      <c r="R50" s="41">
        <f>R51</f>
        <v>0</v>
      </c>
      <c r="S50" s="42"/>
    </row>
    <row r="51" spans="1:19">
      <c r="A51" s="131" t="s">
        <v>517</v>
      </c>
      <c r="B51" s="792">
        <v>0</v>
      </c>
      <c r="C51" s="792">
        <v>0</v>
      </c>
      <c r="D51" s="792"/>
      <c r="E51" s="792">
        <v>0</v>
      </c>
      <c r="F51" s="792">
        <v>0</v>
      </c>
      <c r="G51" s="792">
        <f>+B51+C51+E51-F51</f>
        <v>0</v>
      </c>
      <c r="H51" s="776"/>
      <c r="I51" s="792">
        <v>0</v>
      </c>
      <c r="J51" s="792">
        <v>0</v>
      </c>
      <c r="K51" s="792"/>
      <c r="L51" s="792"/>
      <c r="M51" s="792">
        <v>0</v>
      </c>
      <c r="N51" s="792">
        <f t="shared" si="4"/>
        <v>0</v>
      </c>
      <c r="O51" s="776"/>
      <c r="P51" s="792">
        <f>+G51-N51</f>
        <v>0</v>
      </c>
      <c r="Q51" s="776"/>
      <c r="R51" s="792">
        <v>0</v>
      </c>
      <c r="S51" s="784"/>
    </row>
    <row r="52" spans="1:19">
      <c r="A52" s="43" t="s">
        <v>790</v>
      </c>
      <c r="B52" s="41">
        <f>SUM(B53:B54)</f>
        <v>0</v>
      </c>
      <c r="C52" s="41">
        <f>SUM(C53:C54)</f>
        <v>0</v>
      </c>
      <c r="D52" s="41"/>
      <c r="E52" s="41">
        <f>SUM(E53:E54)</f>
        <v>0</v>
      </c>
      <c r="F52" s="41">
        <f>SUM(F53:F54)</f>
        <v>0</v>
      </c>
      <c r="G52" s="41">
        <f>SUM(G53:G54)</f>
        <v>0</v>
      </c>
      <c r="H52" s="41"/>
      <c r="I52" s="41">
        <f>SUM(I53:I54)</f>
        <v>0</v>
      </c>
      <c r="J52" s="41">
        <f>SUM(J53:J54)</f>
        <v>0</v>
      </c>
      <c r="K52" s="41"/>
      <c r="L52" s="41"/>
      <c r="M52" s="41">
        <f>SUM(M53:M54)</f>
        <v>0</v>
      </c>
      <c r="N52" s="41">
        <f>SUM(N53:N54)</f>
        <v>0</v>
      </c>
      <c r="O52" s="41"/>
      <c r="P52" s="41">
        <f>SUM(P53:P54)</f>
        <v>0</v>
      </c>
      <c r="Q52" s="41"/>
      <c r="R52" s="41">
        <f>SUM(R53:R54)</f>
        <v>0</v>
      </c>
      <c r="S52" s="42"/>
    </row>
    <row r="53" spans="1:19">
      <c r="A53" s="131" t="s">
        <v>791</v>
      </c>
      <c r="B53" s="775">
        <v>0</v>
      </c>
      <c r="C53" s="775">
        <v>0</v>
      </c>
      <c r="D53" s="775"/>
      <c r="E53" s="775">
        <v>0</v>
      </c>
      <c r="F53" s="775">
        <v>0</v>
      </c>
      <c r="G53" s="775">
        <f>+B53+C53+E53-F53</f>
        <v>0</v>
      </c>
      <c r="H53" s="776"/>
      <c r="I53" s="775">
        <v>0</v>
      </c>
      <c r="J53" s="775">
        <v>0</v>
      </c>
      <c r="K53" s="775"/>
      <c r="L53" s="775"/>
      <c r="M53" s="775">
        <v>0</v>
      </c>
      <c r="N53" s="775">
        <f t="shared" si="4"/>
        <v>0</v>
      </c>
      <c r="O53" s="776"/>
      <c r="P53" s="775">
        <f>+G53-N53</f>
        <v>0</v>
      </c>
      <c r="Q53" s="776"/>
      <c r="R53" s="775">
        <v>0</v>
      </c>
      <c r="S53" s="784"/>
    </row>
    <row r="54" spans="1:19">
      <c r="A54" s="131" t="s">
        <v>792</v>
      </c>
      <c r="B54" s="781">
        <v>0</v>
      </c>
      <c r="C54" s="781">
        <v>0</v>
      </c>
      <c r="D54" s="781"/>
      <c r="E54" s="781">
        <v>0</v>
      </c>
      <c r="F54" s="781">
        <v>0</v>
      </c>
      <c r="G54" s="781">
        <f>+B54+C54+E54-F54</f>
        <v>0</v>
      </c>
      <c r="H54" s="776"/>
      <c r="I54" s="781">
        <v>0</v>
      </c>
      <c r="J54" s="781">
        <v>0</v>
      </c>
      <c r="K54" s="781"/>
      <c r="L54" s="781"/>
      <c r="M54" s="781">
        <v>0</v>
      </c>
      <c r="N54" s="781">
        <f t="shared" si="4"/>
        <v>0</v>
      </c>
      <c r="O54" s="776"/>
      <c r="P54" s="781">
        <f>+G54-N54</f>
        <v>0</v>
      </c>
      <c r="Q54" s="776"/>
      <c r="R54" s="781">
        <v>0</v>
      </c>
      <c r="S54" s="784"/>
    </row>
    <row r="55" spans="1:19">
      <c r="A55" s="131"/>
      <c r="B55" s="776"/>
      <c r="C55" s="776"/>
      <c r="D55" s="776"/>
      <c r="E55" s="776"/>
      <c r="F55" s="776"/>
      <c r="G55" s="776"/>
      <c r="H55" s="776"/>
      <c r="I55" s="776"/>
      <c r="J55" s="776">
        <v>0</v>
      </c>
      <c r="K55" s="776"/>
      <c r="L55" s="776"/>
      <c r="M55" s="776">
        <v>0</v>
      </c>
      <c r="N55" s="776"/>
      <c r="O55" s="776"/>
      <c r="P55" s="776"/>
      <c r="Q55" s="776"/>
      <c r="R55" s="41"/>
      <c r="S55" s="784"/>
    </row>
    <row r="56" spans="1:19">
      <c r="A56" s="43" t="s">
        <v>793</v>
      </c>
      <c r="B56" s="41">
        <f>SUM(B57:B58)</f>
        <v>0</v>
      </c>
      <c r="C56" s="41">
        <f>SUM(C57:C58)</f>
        <v>0</v>
      </c>
      <c r="D56" s="41"/>
      <c r="E56" s="41">
        <f>SUM(E57:E58)</f>
        <v>0</v>
      </c>
      <c r="F56" s="41">
        <f>SUM(F57:F58)</f>
        <v>0</v>
      </c>
      <c r="G56" s="41">
        <f>SUM(G57:G58)</f>
        <v>0</v>
      </c>
      <c r="H56" s="41"/>
      <c r="I56" s="41">
        <f>SUM(I57:I58)</f>
        <v>0</v>
      </c>
      <c r="J56" s="41">
        <f>SUM(J57:J58)</f>
        <v>0</v>
      </c>
      <c r="K56" s="41"/>
      <c r="L56" s="41"/>
      <c r="M56" s="41">
        <f>SUM(M57:M58)</f>
        <v>0</v>
      </c>
      <c r="N56" s="41">
        <f>SUM(N57:N58)</f>
        <v>0</v>
      </c>
      <c r="O56" s="41"/>
      <c r="P56" s="41">
        <f>SUM(P57:P58)</f>
        <v>0</v>
      </c>
      <c r="Q56" s="41"/>
      <c r="R56" s="41">
        <f>SUM(R57:R58)</f>
        <v>0</v>
      </c>
      <c r="S56" s="42"/>
    </row>
    <row r="57" spans="1:19" ht="25.5">
      <c r="A57" s="131" t="s">
        <v>794</v>
      </c>
      <c r="B57" s="775">
        <v>0</v>
      </c>
      <c r="C57" s="775">
        <v>0</v>
      </c>
      <c r="D57" s="775"/>
      <c r="E57" s="775">
        <v>0</v>
      </c>
      <c r="F57" s="775">
        <v>0</v>
      </c>
      <c r="G57" s="775">
        <f>+B57+C57+E57-F57</f>
        <v>0</v>
      </c>
      <c r="H57" s="776"/>
      <c r="I57" s="775">
        <v>0</v>
      </c>
      <c r="J57" s="775">
        <v>0</v>
      </c>
      <c r="K57" s="775"/>
      <c r="L57" s="775"/>
      <c r="M57" s="775">
        <v>0</v>
      </c>
      <c r="N57" s="775">
        <f>+I57+J57-M57</f>
        <v>0</v>
      </c>
      <c r="O57" s="776"/>
      <c r="P57" s="775">
        <f>+G57-N57</f>
        <v>0</v>
      </c>
      <c r="Q57" s="776"/>
      <c r="R57" s="775">
        <v>0</v>
      </c>
      <c r="S57" s="784"/>
    </row>
    <row r="58" spans="1:19">
      <c r="A58" s="131" t="s">
        <v>518</v>
      </c>
      <c r="B58" s="781">
        <v>0</v>
      </c>
      <c r="C58" s="781">
        <v>0</v>
      </c>
      <c r="D58" s="781"/>
      <c r="E58" s="781">
        <v>0</v>
      </c>
      <c r="F58" s="781">
        <v>0</v>
      </c>
      <c r="G58" s="781">
        <f>+B58+C58+E58-F58</f>
        <v>0</v>
      </c>
      <c r="H58" s="776"/>
      <c r="I58" s="781">
        <v>0</v>
      </c>
      <c r="J58" s="781">
        <v>0</v>
      </c>
      <c r="K58" s="781"/>
      <c r="L58" s="781"/>
      <c r="M58" s="781">
        <v>0</v>
      </c>
      <c r="N58" s="781">
        <v>0</v>
      </c>
      <c r="O58" s="776"/>
      <c r="P58" s="781">
        <f>+G58-N58</f>
        <v>0</v>
      </c>
      <c r="Q58" s="776"/>
      <c r="R58" s="781">
        <v>0</v>
      </c>
      <c r="S58" s="784"/>
    </row>
    <row r="59" spans="1:19">
      <c r="A59" s="48" t="s">
        <v>1188</v>
      </c>
      <c r="B59" s="303">
        <f>B56+B52+B50+B48+B45+B43+B40+B35+B31+B27+B24+B10+B8</f>
        <v>424076</v>
      </c>
      <c r="C59" s="303">
        <f>C56+C52+C50+C48+C45+C43+C40+C35+C31+C27+C24+C10+C8</f>
        <v>157560.6</v>
      </c>
      <c r="D59" s="303"/>
      <c r="E59" s="303">
        <f>E56+E52+E50+E48+E45+E43+E40+E35+E31+E27+E24+E10+E8</f>
        <v>0</v>
      </c>
      <c r="F59" s="303">
        <f>F56+F52+F50+F48+F45+F43+F40+F35+F31+F27+F24+F10+F8</f>
        <v>0</v>
      </c>
      <c r="G59" s="303">
        <f>G56+G52+G50+G48+G45+G43+G40+G35+G31+G27+G24+G10+G8</f>
        <v>157560.59999999998</v>
      </c>
      <c r="H59" s="303"/>
      <c r="I59" s="303">
        <f t="shared" ref="I59:P59" si="7">I56+I52+I50+I48+I45+I43+I40+I35+I31+I27+I24+I10+I8</f>
        <v>251982.22</v>
      </c>
      <c r="J59" s="303">
        <f t="shared" si="7"/>
        <v>70603.319999999992</v>
      </c>
      <c r="K59" s="303"/>
      <c r="L59" s="303"/>
      <c r="M59" s="303">
        <f t="shared" si="7"/>
        <v>0</v>
      </c>
      <c r="N59" s="303">
        <f t="shared" si="7"/>
        <v>70603.539999999979</v>
      </c>
      <c r="O59" s="303">
        <f t="shared" si="7"/>
        <v>0</v>
      </c>
      <c r="P59" s="303">
        <f t="shared" si="7"/>
        <v>86957.06</v>
      </c>
      <c r="Q59" s="303"/>
      <c r="R59" s="303">
        <f>R56+R52+R50+R48+R45+R43+R40+R35+R31+R27+R24+R10+R8</f>
        <v>0</v>
      </c>
      <c r="S59" s="793"/>
    </row>
  </sheetData>
  <mergeCells count="6">
    <mergeCell ref="A1:R1"/>
    <mergeCell ref="A2:R2"/>
    <mergeCell ref="A3:R3"/>
    <mergeCell ref="B5:G5"/>
    <mergeCell ref="I5:N5"/>
    <mergeCell ref="R5:S5"/>
  </mergeCells>
  <printOptions horizontalCentered="1"/>
  <pageMargins left="0.70866141732283472" right="0.70866141732283472" top="0.74803149606299213" bottom="0.74803149606299213" header="0.31496062992125984" footer="0.31496062992125984"/>
  <pageSetup paperSize="9" scale="53"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sheetPr>
    <tabColor rgb="FF66FF66"/>
    <pageSetUpPr fitToPage="1"/>
  </sheetPr>
  <dimension ref="A1:Q59"/>
  <sheetViews>
    <sheetView view="pageBreakPreview" topLeftCell="A24" zoomScale="90" zoomScaleSheetLayoutView="90" workbookViewId="0">
      <selection activeCell="C43" activeCellId="1" sqref="E18 C43"/>
    </sheetView>
  </sheetViews>
  <sheetFormatPr defaultRowHeight="12.75"/>
  <cols>
    <col min="1" max="1" width="19.140625" style="577" bestFit="1" customWidth="1"/>
    <col min="2" max="2" width="18.5703125" style="786" customWidth="1"/>
    <col min="3" max="3" width="15.85546875" style="786" bestFit="1" customWidth="1"/>
    <col min="4" max="4" width="13.28515625" style="786" customWidth="1"/>
    <col min="5" max="5" width="15.5703125" style="786" bestFit="1" customWidth="1"/>
    <col min="6" max="6" width="16.140625" style="786" bestFit="1" customWidth="1"/>
    <col min="7" max="7" width="1.42578125" style="786" customWidth="1"/>
    <col min="8" max="8" width="13.85546875" style="786" bestFit="1" customWidth="1"/>
    <col min="9" max="9" width="10.42578125" style="786" bestFit="1" customWidth="1"/>
    <col min="10" max="10" width="10.42578125" style="786" customWidth="1"/>
    <col min="11" max="11" width="13.7109375" style="786" bestFit="1" customWidth="1"/>
    <col min="12" max="12" width="1.140625" style="786" customWidth="1"/>
    <col min="13" max="13" width="21.85546875" style="786" bestFit="1" customWidth="1"/>
    <col min="14" max="14" width="1.42578125" style="786" customWidth="1"/>
    <col min="15" max="15" width="9.42578125" style="786" bestFit="1" customWidth="1"/>
    <col min="16" max="16" width="3" style="577" customWidth="1"/>
    <col min="17" max="17" width="14" style="577" bestFit="1" customWidth="1"/>
    <col min="18" max="16384" width="9.140625" style="577"/>
  </cols>
  <sheetData>
    <row r="1" spans="1:16">
      <c r="A1" s="1759" t="s">
        <v>795</v>
      </c>
      <c r="B1" s="1759"/>
      <c r="C1" s="1759"/>
      <c r="D1" s="1759"/>
      <c r="E1" s="1759"/>
      <c r="F1" s="1759"/>
      <c r="G1" s="1759"/>
      <c r="H1" s="1759"/>
      <c r="I1" s="1759"/>
      <c r="J1" s="1759"/>
      <c r="K1" s="1759"/>
      <c r="L1" s="1759"/>
      <c r="M1" s="1759"/>
      <c r="N1" s="1759"/>
      <c r="O1" s="1759"/>
    </row>
    <row r="2" spans="1:16">
      <c r="A2" s="1759" t="s">
        <v>1692</v>
      </c>
      <c r="B2" s="1759"/>
      <c r="C2" s="1759"/>
      <c r="D2" s="1759"/>
      <c r="E2" s="1759"/>
      <c r="F2" s="1759"/>
      <c r="G2" s="1759"/>
      <c r="H2" s="1759"/>
      <c r="I2" s="1759"/>
      <c r="J2" s="1759"/>
      <c r="K2" s="1759"/>
      <c r="L2" s="1759"/>
      <c r="M2" s="1759"/>
      <c r="N2" s="1759"/>
      <c r="O2" s="1759"/>
    </row>
    <row r="3" spans="1:16">
      <c r="A3" s="1759" t="s">
        <v>2101</v>
      </c>
      <c r="B3" s="1759"/>
      <c r="C3" s="1759"/>
      <c r="D3" s="1759"/>
      <c r="E3" s="1759"/>
      <c r="F3" s="1759"/>
      <c r="G3" s="1759"/>
      <c r="H3" s="1759"/>
      <c r="I3" s="1759"/>
      <c r="J3" s="1759"/>
      <c r="K3" s="1759"/>
      <c r="L3" s="1759"/>
      <c r="M3" s="1759"/>
      <c r="N3" s="1759"/>
      <c r="O3" s="1759"/>
    </row>
    <row r="5" spans="1:16">
      <c r="A5" s="297"/>
      <c r="B5" s="1765" t="s">
        <v>505</v>
      </c>
      <c r="C5" s="1765"/>
      <c r="D5" s="1765"/>
      <c r="E5" s="1765"/>
      <c r="F5" s="1765"/>
      <c r="G5" s="794"/>
      <c r="H5" s="1765" t="s">
        <v>506</v>
      </c>
      <c r="I5" s="1765"/>
      <c r="J5" s="1765"/>
      <c r="K5" s="1765"/>
      <c r="L5" s="794"/>
      <c r="M5" s="794"/>
      <c r="N5" s="794"/>
      <c r="O5" s="1766"/>
      <c r="P5" s="1767"/>
    </row>
    <row r="6" spans="1:16" ht="38.25">
      <c r="A6" s="43"/>
      <c r="B6" s="40" t="s">
        <v>2097</v>
      </c>
      <c r="C6" s="40" t="s">
        <v>507</v>
      </c>
      <c r="D6" s="40" t="s">
        <v>508</v>
      </c>
      <c r="E6" s="40" t="s">
        <v>629</v>
      </c>
      <c r="F6" s="40" t="s">
        <v>2098</v>
      </c>
      <c r="G6" s="38"/>
      <c r="H6" s="40" t="s">
        <v>2099</v>
      </c>
      <c r="I6" s="40" t="s">
        <v>509</v>
      </c>
      <c r="J6" s="40" t="s">
        <v>629</v>
      </c>
      <c r="K6" s="40" t="s">
        <v>2098</v>
      </c>
      <c r="L6" s="38"/>
      <c r="M6" s="40" t="s">
        <v>510</v>
      </c>
      <c r="N6" s="38"/>
      <c r="O6" s="40" t="s">
        <v>2100</v>
      </c>
      <c r="P6" s="47"/>
    </row>
    <row r="7" spans="1:16">
      <c r="A7" s="44"/>
      <c r="B7" s="39" t="s">
        <v>1314</v>
      </c>
      <c r="C7" s="39" t="s">
        <v>1314</v>
      </c>
      <c r="D7" s="39"/>
      <c r="E7" s="39" t="s">
        <v>1314</v>
      </c>
      <c r="F7" s="39" t="s">
        <v>1314</v>
      </c>
      <c r="G7" s="39"/>
      <c r="H7" s="39" t="s">
        <v>1314</v>
      </c>
      <c r="I7" s="39" t="s">
        <v>1314</v>
      </c>
      <c r="J7" s="39" t="s">
        <v>1314</v>
      </c>
      <c r="K7" s="39" t="s">
        <v>1314</v>
      </c>
      <c r="L7" s="39"/>
      <c r="M7" s="39" t="s">
        <v>1314</v>
      </c>
      <c r="N7" s="39"/>
      <c r="O7" s="39" t="s">
        <v>1314</v>
      </c>
      <c r="P7" s="45"/>
    </row>
    <row r="8" spans="1:16" ht="25.5">
      <c r="A8" s="43" t="s">
        <v>630</v>
      </c>
      <c r="B8" s="41">
        <f>B9</f>
        <v>0</v>
      </c>
      <c r="C8" s="41">
        <f>C9</f>
        <v>0</v>
      </c>
      <c r="D8" s="41">
        <f>D9</f>
        <v>0</v>
      </c>
      <c r="E8" s="41">
        <f>E9</f>
        <v>0</v>
      </c>
      <c r="F8" s="41">
        <f>F9</f>
        <v>0</v>
      </c>
      <c r="G8" s="41"/>
      <c r="H8" s="41">
        <f>H9</f>
        <v>0</v>
      </c>
      <c r="I8" s="41">
        <f>I9</f>
        <v>0</v>
      </c>
      <c r="J8" s="41">
        <f>J9</f>
        <v>0</v>
      </c>
      <c r="K8" s="41">
        <f>K9</f>
        <v>0</v>
      </c>
      <c r="L8" s="41"/>
      <c r="M8" s="41">
        <f>M9</f>
        <v>0</v>
      </c>
      <c r="N8" s="41"/>
      <c r="O8" s="41">
        <f>O9</f>
        <v>0</v>
      </c>
      <c r="P8" s="42"/>
    </row>
    <row r="9" spans="1:16">
      <c r="A9" s="131" t="s">
        <v>631</v>
      </c>
      <c r="B9" s="792">
        <v>0</v>
      </c>
      <c r="C9" s="792">
        <v>0</v>
      </c>
      <c r="D9" s="792">
        <v>0</v>
      </c>
      <c r="E9" s="792">
        <v>0</v>
      </c>
      <c r="F9" s="792">
        <f>+B9+C9+D9-E9</f>
        <v>0</v>
      </c>
      <c r="G9" s="776"/>
      <c r="H9" s="792">
        <v>0</v>
      </c>
      <c r="I9" s="792">
        <v>0</v>
      </c>
      <c r="J9" s="792">
        <v>0</v>
      </c>
      <c r="K9" s="792">
        <f>+H9+I9-J9</f>
        <v>0</v>
      </c>
      <c r="L9" s="776"/>
      <c r="M9" s="792">
        <f>+F9-K9</f>
        <v>0</v>
      </c>
      <c r="N9" s="776"/>
      <c r="O9" s="792">
        <v>0</v>
      </c>
      <c r="P9" s="784"/>
    </row>
    <row r="10" spans="1:16" ht="25.5">
      <c r="A10" s="43" t="s">
        <v>632</v>
      </c>
      <c r="B10" s="41">
        <f>SUM(B11:B23)</f>
        <v>0</v>
      </c>
      <c r="C10" s="41">
        <f>SUM(C11:C23)</f>
        <v>0</v>
      </c>
      <c r="D10" s="41">
        <f>SUM(D11:D23)</f>
        <v>0</v>
      </c>
      <c r="E10" s="41">
        <f>SUM(E11:E23)</f>
        <v>0</v>
      </c>
      <c r="F10" s="41">
        <f>SUM(F11:F23)</f>
        <v>0</v>
      </c>
      <c r="G10" s="41"/>
      <c r="H10" s="41">
        <f>SUM(H11:H23)</f>
        <v>0</v>
      </c>
      <c r="I10" s="41">
        <f>SUM(I11:I23)</f>
        <v>0</v>
      </c>
      <c r="J10" s="41">
        <f>SUM(J11:J23)</f>
        <v>0</v>
      </c>
      <c r="K10" s="41">
        <f>SUM(K11:K23)</f>
        <v>0</v>
      </c>
      <c r="L10" s="41"/>
      <c r="M10" s="41">
        <f>SUM(M11:M23)</f>
        <v>0</v>
      </c>
      <c r="N10" s="41"/>
      <c r="O10" s="41">
        <f>SUM(O11:O23)</f>
        <v>0</v>
      </c>
      <c r="P10" s="42"/>
    </row>
    <row r="11" spans="1:16">
      <c r="A11" s="131" t="s">
        <v>633</v>
      </c>
      <c r="B11" s="775">
        <v>0</v>
      </c>
      <c r="C11" s="775">
        <v>0</v>
      </c>
      <c r="D11" s="775">
        <v>0</v>
      </c>
      <c r="E11" s="775">
        <v>0</v>
      </c>
      <c r="F11" s="775">
        <f>+B11+C11+D11-E11</f>
        <v>0</v>
      </c>
      <c r="G11" s="776"/>
      <c r="H11" s="775">
        <v>0</v>
      </c>
      <c r="I11" s="775">
        <v>0</v>
      </c>
      <c r="J11" s="775">
        <v>0</v>
      </c>
      <c r="K11" s="775">
        <f>+H11+I11-J11</f>
        <v>0</v>
      </c>
      <c r="L11" s="776"/>
      <c r="M11" s="775">
        <f>+F11-K11</f>
        <v>0</v>
      </c>
      <c r="N11" s="776"/>
      <c r="O11" s="775">
        <v>0</v>
      </c>
      <c r="P11" s="784"/>
    </row>
    <row r="12" spans="1:16" ht="25.5">
      <c r="A12" s="131" t="s">
        <v>634</v>
      </c>
      <c r="B12" s="778">
        <v>0</v>
      </c>
      <c r="C12" s="778">
        <v>0</v>
      </c>
      <c r="D12" s="778">
        <v>0</v>
      </c>
      <c r="E12" s="778">
        <v>0</v>
      </c>
      <c r="F12" s="778">
        <f>+B12+C12+D12-E12</f>
        <v>0</v>
      </c>
      <c r="G12" s="776"/>
      <c r="H12" s="778">
        <v>0</v>
      </c>
      <c r="I12" s="778">
        <v>0</v>
      </c>
      <c r="J12" s="778">
        <v>0</v>
      </c>
      <c r="K12" s="778">
        <f>+H12+I12-J12</f>
        <v>0</v>
      </c>
      <c r="L12" s="776"/>
      <c r="M12" s="778">
        <f>+F12-K12</f>
        <v>0</v>
      </c>
      <c r="N12" s="776"/>
      <c r="O12" s="778">
        <v>0</v>
      </c>
      <c r="P12" s="784"/>
    </row>
    <row r="13" spans="1:16">
      <c r="A13" s="131" t="s">
        <v>769</v>
      </c>
      <c r="B13" s="778">
        <v>0</v>
      </c>
      <c r="C13" s="778">
        <v>0</v>
      </c>
      <c r="D13" s="778">
        <v>0</v>
      </c>
      <c r="E13" s="778">
        <v>0</v>
      </c>
      <c r="F13" s="778">
        <f>+B13+C13+D13-E13</f>
        <v>0</v>
      </c>
      <c r="G13" s="776"/>
      <c r="H13" s="778">
        <v>0</v>
      </c>
      <c r="I13" s="778">
        <v>0</v>
      </c>
      <c r="J13" s="778">
        <v>0</v>
      </c>
      <c r="K13" s="778">
        <f>+H13+I13-J13</f>
        <v>0</v>
      </c>
      <c r="L13" s="776"/>
      <c r="M13" s="778">
        <f>+F13-K13</f>
        <v>0</v>
      </c>
      <c r="N13" s="776"/>
      <c r="O13" s="778">
        <v>0</v>
      </c>
      <c r="P13" s="784"/>
    </row>
    <row r="14" spans="1:16">
      <c r="A14" s="131" t="s">
        <v>770</v>
      </c>
      <c r="B14" s="778">
        <v>0</v>
      </c>
      <c r="C14" s="778">
        <v>0</v>
      </c>
      <c r="D14" s="778">
        <v>0</v>
      </c>
      <c r="E14" s="778">
        <v>0</v>
      </c>
      <c r="F14" s="778">
        <f>+B14+C14+D14-E14</f>
        <v>0</v>
      </c>
      <c r="G14" s="776"/>
      <c r="H14" s="778">
        <v>0</v>
      </c>
      <c r="I14" s="778">
        <v>0</v>
      </c>
      <c r="J14" s="778">
        <v>0</v>
      </c>
      <c r="K14" s="778">
        <f>+H14+I14-J14</f>
        <v>0</v>
      </c>
      <c r="L14" s="776"/>
      <c r="M14" s="778">
        <f>+F14-K14</f>
        <v>0</v>
      </c>
      <c r="N14" s="776"/>
      <c r="O14" s="778">
        <v>0</v>
      </c>
      <c r="P14" s="784"/>
    </row>
    <row r="15" spans="1:16">
      <c r="A15" s="131" t="s">
        <v>642</v>
      </c>
      <c r="B15" s="778">
        <v>0</v>
      </c>
      <c r="C15" s="778">
        <v>0</v>
      </c>
      <c r="D15" s="778">
        <v>0</v>
      </c>
      <c r="E15" s="778">
        <v>0</v>
      </c>
      <c r="F15" s="778">
        <f t="shared" ref="F15:F22" si="0">+B15+C15+D15-E15</f>
        <v>0</v>
      </c>
      <c r="G15" s="776"/>
      <c r="H15" s="778">
        <v>0</v>
      </c>
      <c r="I15" s="778">
        <v>0</v>
      </c>
      <c r="J15" s="778">
        <v>0</v>
      </c>
      <c r="K15" s="778">
        <f t="shared" ref="K15:K22" si="1">+H15+I15-J15</f>
        <v>0</v>
      </c>
      <c r="L15" s="776"/>
      <c r="M15" s="778">
        <f t="shared" ref="M15:M22" si="2">+F15-K15</f>
        <v>0</v>
      </c>
      <c r="N15" s="776"/>
      <c r="O15" s="778">
        <v>0</v>
      </c>
      <c r="P15" s="784"/>
    </row>
    <row r="16" spans="1:16">
      <c r="A16" s="131" t="s">
        <v>643</v>
      </c>
      <c r="B16" s="778">
        <v>0</v>
      </c>
      <c r="C16" s="778">
        <v>0</v>
      </c>
      <c r="D16" s="778">
        <v>0</v>
      </c>
      <c r="E16" s="778">
        <v>0</v>
      </c>
      <c r="F16" s="778">
        <f t="shared" si="0"/>
        <v>0</v>
      </c>
      <c r="G16" s="776"/>
      <c r="H16" s="778">
        <v>0</v>
      </c>
      <c r="I16" s="778">
        <v>0</v>
      </c>
      <c r="J16" s="778">
        <v>0</v>
      </c>
      <c r="K16" s="778">
        <f t="shared" si="1"/>
        <v>0</v>
      </c>
      <c r="L16" s="776"/>
      <c r="M16" s="778">
        <f t="shared" si="2"/>
        <v>0</v>
      </c>
      <c r="N16" s="776"/>
      <c r="O16" s="778">
        <v>0</v>
      </c>
      <c r="P16" s="784"/>
    </row>
    <row r="17" spans="1:17">
      <c r="A17" s="131" t="s">
        <v>644</v>
      </c>
      <c r="B17" s="778">
        <v>0</v>
      </c>
      <c r="C17" s="778">
        <v>0</v>
      </c>
      <c r="D17" s="778">
        <v>0</v>
      </c>
      <c r="E17" s="778">
        <v>0</v>
      </c>
      <c r="F17" s="778">
        <f t="shared" si="0"/>
        <v>0</v>
      </c>
      <c r="G17" s="776"/>
      <c r="H17" s="778">
        <v>0</v>
      </c>
      <c r="I17" s="778">
        <v>0</v>
      </c>
      <c r="J17" s="778">
        <v>0</v>
      </c>
      <c r="K17" s="778">
        <f t="shared" si="1"/>
        <v>0</v>
      </c>
      <c r="L17" s="776"/>
      <c r="M17" s="778">
        <f t="shared" si="2"/>
        <v>0</v>
      </c>
      <c r="N17" s="776"/>
      <c r="O17" s="778">
        <v>0</v>
      </c>
      <c r="P17" s="784"/>
    </row>
    <row r="18" spans="1:17">
      <c r="A18" s="131" t="s">
        <v>823</v>
      </c>
      <c r="B18" s="778">
        <v>0</v>
      </c>
      <c r="C18" s="778">
        <v>0</v>
      </c>
      <c r="D18" s="778">
        <v>0</v>
      </c>
      <c r="E18" s="778">
        <v>0</v>
      </c>
      <c r="F18" s="778">
        <f t="shared" si="0"/>
        <v>0</v>
      </c>
      <c r="G18" s="776"/>
      <c r="H18" s="778">
        <v>0</v>
      </c>
      <c r="I18" s="778">
        <v>0</v>
      </c>
      <c r="J18" s="778">
        <v>0</v>
      </c>
      <c r="K18" s="778">
        <f t="shared" si="1"/>
        <v>0</v>
      </c>
      <c r="L18" s="776"/>
      <c r="M18" s="778">
        <f t="shared" si="2"/>
        <v>0</v>
      </c>
      <c r="N18" s="776"/>
      <c r="O18" s="778">
        <v>0</v>
      </c>
      <c r="P18" s="784"/>
    </row>
    <row r="19" spans="1:17">
      <c r="A19" s="131" t="s">
        <v>645</v>
      </c>
      <c r="B19" s="778">
        <v>0</v>
      </c>
      <c r="C19" s="778">
        <v>0</v>
      </c>
      <c r="D19" s="778">
        <v>0</v>
      </c>
      <c r="E19" s="778">
        <v>0</v>
      </c>
      <c r="F19" s="778">
        <f t="shared" si="0"/>
        <v>0</v>
      </c>
      <c r="G19" s="776"/>
      <c r="H19" s="778">
        <v>0</v>
      </c>
      <c r="I19" s="778">
        <v>0</v>
      </c>
      <c r="J19" s="778">
        <v>0</v>
      </c>
      <c r="K19" s="778">
        <f t="shared" si="1"/>
        <v>0</v>
      </c>
      <c r="L19" s="776"/>
      <c r="M19" s="778">
        <f t="shared" si="2"/>
        <v>0</v>
      </c>
      <c r="N19" s="776"/>
      <c r="O19" s="778">
        <v>0</v>
      </c>
      <c r="P19" s="784"/>
    </row>
    <row r="20" spans="1:17">
      <c r="A20" s="131" t="s">
        <v>331</v>
      </c>
      <c r="B20" s="778">
        <v>0</v>
      </c>
      <c r="C20" s="778">
        <v>0</v>
      </c>
      <c r="D20" s="778">
        <v>0</v>
      </c>
      <c r="E20" s="778">
        <v>0</v>
      </c>
      <c r="F20" s="778">
        <f t="shared" si="0"/>
        <v>0</v>
      </c>
      <c r="G20" s="776"/>
      <c r="H20" s="778">
        <v>0</v>
      </c>
      <c r="I20" s="778">
        <v>0</v>
      </c>
      <c r="J20" s="778">
        <v>0</v>
      </c>
      <c r="K20" s="778">
        <f t="shared" si="1"/>
        <v>0</v>
      </c>
      <c r="L20" s="776"/>
      <c r="M20" s="778">
        <f t="shared" si="2"/>
        <v>0</v>
      </c>
      <c r="N20" s="776"/>
      <c r="O20" s="778">
        <v>0</v>
      </c>
      <c r="P20" s="784"/>
    </row>
    <row r="21" spans="1:17">
      <c r="A21" s="131" t="s">
        <v>491</v>
      </c>
      <c r="B21" s="778">
        <v>0</v>
      </c>
      <c r="C21" s="778">
        <v>0</v>
      </c>
      <c r="D21" s="778">
        <v>0</v>
      </c>
      <c r="E21" s="778">
        <v>0</v>
      </c>
      <c r="F21" s="778">
        <f t="shared" si="0"/>
        <v>0</v>
      </c>
      <c r="G21" s="776"/>
      <c r="H21" s="778">
        <v>0</v>
      </c>
      <c r="I21" s="778">
        <v>0</v>
      </c>
      <c r="J21" s="778">
        <v>0</v>
      </c>
      <c r="K21" s="778">
        <f t="shared" si="1"/>
        <v>0</v>
      </c>
      <c r="L21" s="776"/>
      <c r="M21" s="778">
        <f t="shared" si="2"/>
        <v>0</v>
      </c>
      <c r="N21" s="776"/>
      <c r="O21" s="778">
        <v>0</v>
      </c>
      <c r="P21" s="784"/>
    </row>
    <row r="22" spans="1:17">
      <c r="A22" s="131" t="s">
        <v>332</v>
      </c>
      <c r="B22" s="778">
        <v>0</v>
      </c>
      <c r="C22" s="778">
        <v>0</v>
      </c>
      <c r="D22" s="778">
        <v>0</v>
      </c>
      <c r="E22" s="778">
        <v>0</v>
      </c>
      <c r="F22" s="778">
        <f t="shared" si="0"/>
        <v>0</v>
      </c>
      <c r="G22" s="776"/>
      <c r="H22" s="778">
        <v>0</v>
      </c>
      <c r="I22" s="778">
        <v>0</v>
      </c>
      <c r="J22" s="778">
        <v>0</v>
      </c>
      <c r="K22" s="778">
        <f t="shared" si="1"/>
        <v>0</v>
      </c>
      <c r="L22" s="776"/>
      <c r="M22" s="778">
        <f t="shared" si="2"/>
        <v>0</v>
      </c>
      <c r="N22" s="776"/>
      <c r="O22" s="778">
        <v>0</v>
      </c>
      <c r="P22" s="784"/>
    </row>
    <row r="23" spans="1:17">
      <c r="A23" s="131" t="s">
        <v>771</v>
      </c>
      <c r="B23" s="781">
        <v>0</v>
      </c>
      <c r="C23" s="781">
        <v>0</v>
      </c>
      <c r="D23" s="781">
        <v>0</v>
      </c>
      <c r="E23" s="781">
        <v>0</v>
      </c>
      <c r="F23" s="781">
        <f>+B23+C23+D23-E23</f>
        <v>0</v>
      </c>
      <c r="G23" s="776"/>
      <c r="H23" s="781">
        <v>0</v>
      </c>
      <c r="I23" s="781">
        <v>0</v>
      </c>
      <c r="J23" s="781">
        <v>0</v>
      </c>
      <c r="K23" s="781">
        <f>+H23+I23-J23</f>
        <v>0</v>
      </c>
      <c r="L23" s="780"/>
      <c r="M23" s="781">
        <f>+F23-K23</f>
        <v>0</v>
      </c>
      <c r="N23" s="776"/>
      <c r="O23" s="781">
        <v>0</v>
      </c>
      <c r="P23" s="784"/>
    </row>
    <row r="24" spans="1:17" ht="25.5">
      <c r="A24" s="43" t="s">
        <v>772</v>
      </c>
      <c r="B24" s="41">
        <f>B25</f>
        <v>35706000</v>
      </c>
      <c r="C24" s="41">
        <f>C25</f>
        <v>0</v>
      </c>
      <c r="D24" s="41">
        <f>D25</f>
        <v>0</v>
      </c>
      <c r="E24" s="41">
        <f>E25</f>
        <v>465000</v>
      </c>
      <c r="F24" s="41">
        <f>F25</f>
        <v>35241000</v>
      </c>
      <c r="G24" s="41"/>
      <c r="H24" s="41">
        <f>H25</f>
        <v>0</v>
      </c>
      <c r="I24" s="41">
        <f>I25</f>
        <v>0</v>
      </c>
      <c r="J24" s="41">
        <f>J25</f>
        <v>0</v>
      </c>
      <c r="K24" s="41">
        <f>K25</f>
        <v>0</v>
      </c>
      <c r="L24" s="39"/>
      <c r="M24" s="41">
        <f>M25</f>
        <v>35241000</v>
      </c>
      <c r="N24" s="41"/>
      <c r="O24" s="41">
        <f>O25</f>
        <v>0</v>
      </c>
      <c r="P24" s="42"/>
    </row>
    <row r="25" spans="1:17">
      <c r="A25" s="131" t="s">
        <v>646</v>
      </c>
      <c r="B25" s="775">
        <v>35706000</v>
      </c>
      <c r="C25" s="775">
        <v>0</v>
      </c>
      <c r="D25" s="775">
        <v>0</v>
      </c>
      <c r="E25" s="775">
        <v>465000</v>
      </c>
      <c r="F25" s="775">
        <f>+B25+C25+D25-E25</f>
        <v>35241000</v>
      </c>
      <c r="G25" s="776"/>
      <c r="H25" s="775">
        <v>0</v>
      </c>
      <c r="I25" s="775">
        <v>0</v>
      </c>
      <c r="J25" s="775">
        <v>0</v>
      </c>
      <c r="K25" s="775">
        <f>+H25+I25-J25</f>
        <v>0</v>
      </c>
      <c r="L25" s="776"/>
      <c r="M25" s="775">
        <f>+F25-K25</f>
        <v>35241000</v>
      </c>
      <c r="N25" s="776"/>
      <c r="O25" s="775">
        <v>0</v>
      </c>
      <c r="P25" s="784"/>
      <c r="Q25" s="772"/>
    </row>
    <row r="26" spans="1:17" ht="25.5">
      <c r="A26" s="131" t="s">
        <v>773</v>
      </c>
      <c r="B26" s="781">
        <v>0</v>
      </c>
      <c r="C26" s="781">
        <v>0</v>
      </c>
      <c r="D26" s="781">
        <v>0</v>
      </c>
      <c r="E26" s="781">
        <v>0</v>
      </c>
      <c r="F26" s="781">
        <f>+B26+C26+D26-E26</f>
        <v>0</v>
      </c>
      <c r="G26" s="776"/>
      <c r="H26" s="781">
        <v>0</v>
      </c>
      <c r="I26" s="781">
        <v>0</v>
      </c>
      <c r="J26" s="781">
        <v>0</v>
      </c>
      <c r="K26" s="781">
        <f>+H26+I26-J26</f>
        <v>0</v>
      </c>
      <c r="L26" s="776"/>
      <c r="M26" s="781">
        <f>+F26-K26</f>
        <v>0</v>
      </c>
      <c r="N26" s="776"/>
      <c r="O26" s="781">
        <v>0</v>
      </c>
      <c r="P26" s="784"/>
    </row>
    <row r="27" spans="1:17">
      <c r="A27" s="43" t="s">
        <v>774</v>
      </c>
      <c r="B27" s="41">
        <f>SUM(B28:B30)</f>
        <v>0</v>
      </c>
      <c r="C27" s="41">
        <f>SUM(C28:C30)</f>
        <v>0</v>
      </c>
      <c r="D27" s="41">
        <f>SUM(D28:D30)</f>
        <v>0</v>
      </c>
      <c r="E27" s="41">
        <f>SUM(E28:E30)</f>
        <v>0</v>
      </c>
      <c r="F27" s="41">
        <f>SUM(F28:F30)</f>
        <v>0</v>
      </c>
      <c r="G27" s="41"/>
      <c r="H27" s="41">
        <f t="shared" ref="H27:M27" si="3">SUM(H28:H30)</f>
        <v>0</v>
      </c>
      <c r="I27" s="41">
        <f t="shared" si="3"/>
        <v>0</v>
      </c>
      <c r="J27" s="41">
        <f>SUM(J28:J30)</f>
        <v>0</v>
      </c>
      <c r="K27" s="41">
        <f t="shared" si="3"/>
        <v>0</v>
      </c>
      <c r="L27" s="41">
        <f t="shared" si="3"/>
        <v>0</v>
      </c>
      <c r="M27" s="41">
        <f t="shared" si="3"/>
        <v>0</v>
      </c>
      <c r="N27" s="41"/>
      <c r="O27" s="41">
        <f>SUM(O28:O30)</f>
        <v>0</v>
      </c>
      <c r="P27" s="42"/>
    </row>
    <row r="28" spans="1:17" ht="25.5">
      <c r="A28" s="131" t="s">
        <v>775</v>
      </c>
      <c r="B28" s="775">
        <v>0</v>
      </c>
      <c r="C28" s="775">
        <v>0</v>
      </c>
      <c r="D28" s="775">
        <v>0</v>
      </c>
      <c r="E28" s="775">
        <v>0</v>
      </c>
      <c r="F28" s="775">
        <f>+B28+C28+D28-E28</f>
        <v>0</v>
      </c>
      <c r="G28" s="776"/>
      <c r="H28" s="775">
        <v>0</v>
      </c>
      <c r="I28" s="775">
        <v>0</v>
      </c>
      <c r="J28" s="775">
        <v>0</v>
      </c>
      <c r="K28" s="775">
        <f>+H28+I28-J28</f>
        <v>0</v>
      </c>
      <c r="L28" s="776"/>
      <c r="M28" s="775">
        <f>+F28-K28</f>
        <v>0</v>
      </c>
      <c r="N28" s="776"/>
      <c r="O28" s="775">
        <v>0</v>
      </c>
      <c r="P28" s="784"/>
    </row>
    <row r="29" spans="1:17">
      <c r="A29" s="131" t="s">
        <v>776</v>
      </c>
      <c r="B29" s="778">
        <v>0</v>
      </c>
      <c r="C29" s="778">
        <v>0</v>
      </c>
      <c r="D29" s="778">
        <v>0</v>
      </c>
      <c r="E29" s="778">
        <v>0</v>
      </c>
      <c r="F29" s="778">
        <f>+B29+C29+D29-E29</f>
        <v>0</v>
      </c>
      <c r="G29" s="776"/>
      <c r="H29" s="778">
        <v>0</v>
      </c>
      <c r="I29" s="778">
        <v>0</v>
      </c>
      <c r="J29" s="778">
        <v>0</v>
      </c>
      <c r="K29" s="778">
        <f>+H29+I29-J29</f>
        <v>0</v>
      </c>
      <c r="L29" s="776"/>
      <c r="M29" s="778">
        <f>+F29-K29</f>
        <v>0</v>
      </c>
      <c r="N29" s="776"/>
      <c r="O29" s="778">
        <v>0</v>
      </c>
      <c r="P29" s="784"/>
    </row>
    <row r="30" spans="1:17">
      <c r="A30" s="131" t="s">
        <v>777</v>
      </c>
      <c r="B30" s="781">
        <v>0</v>
      </c>
      <c r="C30" s="781">
        <v>0</v>
      </c>
      <c r="D30" s="781">
        <v>0</v>
      </c>
      <c r="E30" s="781">
        <v>0</v>
      </c>
      <c r="F30" s="781">
        <f>+B30+C30+D30-E30</f>
        <v>0</v>
      </c>
      <c r="G30" s="776"/>
      <c r="H30" s="781">
        <v>0</v>
      </c>
      <c r="I30" s="781">
        <v>0</v>
      </c>
      <c r="J30" s="781">
        <v>0</v>
      </c>
      <c r="K30" s="781">
        <f>+H30+I30-J30</f>
        <v>0</v>
      </c>
      <c r="L30" s="776"/>
      <c r="M30" s="781">
        <f>+F30-K30</f>
        <v>0</v>
      </c>
      <c r="N30" s="776"/>
      <c r="O30" s="781">
        <v>0</v>
      </c>
      <c r="P30" s="784"/>
    </row>
    <row r="31" spans="1:17">
      <c r="A31" s="43" t="s">
        <v>778</v>
      </c>
      <c r="B31" s="41">
        <f>SUM(B32:B34)</f>
        <v>0</v>
      </c>
      <c r="C31" s="41">
        <f>SUM(C32:C34)</f>
        <v>0</v>
      </c>
      <c r="D31" s="41">
        <f>SUM(D32:D34)</f>
        <v>0</v>
      </c>
      <c r="E31" s="41">
        <f>SUM(E32:E34)</f>
        <v>0</v>
      </c>
      <c r="F31" s="41">
        <f>SUM(F32:F34)</f>
        <v>0</v>
      </c>
      <c r="G31" s="41"/>
      <c r="H31" s="41">
        <f>SUM(H32:H34)</f>
        <v>0</v>
      </c>
      <c r="I31" s="41">
        <f>SUM(I32:I34)</f>
        <v>0</v>
      </c>
      <c r="J31" s="41">
        <f>SUM(J32:J34)</f>
        <v>0</v>
      </c>
      <c r="K31" s="41">
        <f>SUM(K32:K34)</f>
        <v>0</v>
      </c>
      <c r="L31" s="41"/>
      <c r="M31" s="41">
        <f>SUM(M32:M34)</f>
        <v>0</v>
      </c>
      <c r="N31" s="41"/>
      <c r="O31" s="41">
        <f>SUM(O32:O34)</f>
        <v>0</v>
      </c>
      <c r="P31" s="42"/>
    </row>
    <row r="32" spans="1:17">
      <c r="A32" s="131" t="s">
        <v>523</v>
      </c>
      <c r="B32" s="775">
        <v>0</v>
      </c>
      <c r="C32" s="775">
        <v>0</v>
      </c>
      <c r="D32" s="775">
        <v>0</v>
      </c>
      <c r="E32" s="775">
        <v>0</v>
      </c>
      <c r="F32" s="775">
        <f>+B32+C32+D32-E32</f>
        <v>0</v>
      </c>
      <c r="G32" s="776"/>
      <c r="H32" s="775">
        <v>0</v>
      </c>
      <c r="I32" s="775">
        <v>0</v>
      </c>
      <c r="J32" s="775">
        <v>0</v>
      </c>
      <c r="K32" s="775">
        <f t="shared" ref="K32:K54" si="4">+H32+I32-J32</f>
        <v>0</v>
      </c>
      <c r="L32" s="776"/>
      <c r="M32" s="775">
        <f>+F32-K32</f>
        <v>0</v>
      </c>
      <c r="N32" s="776"/>
      <c r="O32" s="775">
        <v>0</v>
      </c>
      <c r="P32" s="784"/>
    </row>
    <row r="33" spans="1:16">
      <c r="A33" s="131" t="s">
        <v>647</v>
      </c>
      <c r="B33" s="778">
        <v>0</v>
      </c>
      <c r="C33" s="778">
        <v>0</v>
      </c>
      <c r="D33" s="778">
        <v>0</v>
      </c>
      <c r="E33" s="778">
        <v>0</v>
      </c>
      <c r="F33" s="778">
        <f>+B33+C33+D33-E33</f>
        <v>0</v>
      </c>
      <c r="G33" s="776"/>
      <c r="H33" s="778">
        <v>0</v>
      </c>
      <c r="I33" s="778">
        <v>0</v>
      </c>
      <c r="J33" s="778">
        <v>0</v>
      </c>
      <c r="K33" s="778">
        <f>+H33+I33-J33</f>
        <v>0</v>
      </c>
      <c r="L33" s="776"/>
      <c r="M33" s="778">
        <f>+F33-K33</f>
        <v>0</v>
      </c>
      <c r="N33" s="776"/>
      <c r="O33" s="778">
        <v>0</v>
      </c>
      <c r="P33" s="784"/>
    </row>
    <row r="34" spans="1:16">
      <c r="A34" s="131" t="s">
        <v>806</v>
      </c>
      <c r="B34" s="781">
        <v>0</v>
      </c>
      <c r="C34" s="781">
        <v>0</v>
      </c>
      <c r="D34" s="781">
        <v>0</v>
      </c>
      <c r="E34" s="781">
        <v>0</v>
      </c>
      <c r="F34" s="781">
        <f>+B34+C34+D34-E34</f>
        <v>0</v>
      </c>
      <c r="G34" s="776"/>
      <c r="H34" s="781">
        <v>0</v>
      </c>
      <c r="I34" s="781">
        <v>0</v>
      </c>
      <c r="J34" s="781">
        <v>0</v>
      </c>
      <c r="K34" s="781">
        <f t="shared" si="4"/>
        <v>0</v>
      </c>
      <c r="L34" s="776"/>
      <c r="M34" s="781">
        <f>+F34-K34</f>
        <v>0</v>
      </c>
      <c r="N34" s="776"/>
      <c r="O34" s="781">
        <v>0</v>
      </c>
      <c r="P34" s="784"/>
    </row>
    <row r="35" spans="1:16" ht="25.5">
      <c r="A35" s="43" t="s">
        <v>779</v>
      </c>
      <c r="B35" s="41">
        <f>SUM(B36:B39)</f>
        <v>0</v>
      </c>
      <c r="C35" s="41">
        <f>SUM(C36:C39)</f>
        <v>0</v>
      </c>
      <c r="D35" s="41">
        <f>SUM(D36:D39)</f>
        <v>0</v>
      </c>
      <c r="E35" s="41">
        <f>SUM(E36:E39)</f>
        <v>0</v>
      </c>
      <c r="F35" s="41">
        <f>SUM(F36:F39)</f>
        <v>0</v>
      </c>
      <c r="G35" s="41"/>
      <c r="H35" s="41">
        <f>SUM(H36:H39)</f>
        <v>0</v>
      </c>
      <c r="I35" s="41">
        <f>SUM(I36:I39)</f>
        <v>0</v>
      </c>
      <c r="J35" s="41">
        <f>SUM(J36:J39)</f>
        <v>0</v>
      </c>
      <c r="K35" s="41">
        <f>SUM(K36:K39)</f>
        <v>0</v>
      </c>
      <c r="L35" s="41"/>
      <c r="M35" s="41">
        <f>SUM(M36:M39)</f>
        <v>0</v>
      </c>
      <c r="N35" s="41"/>
      <c r="O35" s="41">
        <f>SUM(O36:O39)</f>
        <v>0</v>
      </c>
      <c r="P35" s="42"/>
    </row>
    <row r="36" spans="1:16">
      <c r="A36" s="131" t="s">
        <v>780</v>
      </c>
      <c r="B36" s="775">
        <v>0</v>
      </c>
      <c r="C36" s="775">
        <v>0</v>
      </c>
      <c r="D36" s="775">
        <v>0</v>
      </c>
      <c r="E36" s="775">
        <v>0</v>
      </c>
      <c r="F36" s="775">
        <f>+B36+C36+D36-E36</f>
        <v>0</v>
      </c>
      <c r="G36" s="776"/>
      <c r="H36" s="775">
        <v>0</v>
      </c>
      <c r="I36" s="775">
        <v>0</v>
      </c>
      <c r="J36" s="775">
        <v>0</v>
      </c>
      <c r="K36" s="775">
        <f t="shared" si="4"/>
        <v>0</v>
      </c>
      <c r="L36" s="776"/>
      <c r="M36" s="775">
        <f>+F36-K36</f>
        <v>0</v>
      </c>
      <c r="N36" s="776"/>
      <c r="O36" s="775">
        <v>0</v>
      </c>
      <c r="P36" s="784"/>
    </row>
    <row r="37" spans="1:16" ht="25.5">
      <c r="A37" s="131" t="s">
        <v>781</v>
      </c>
      <c r="B37" s="778">
        <v>0</v>
      </c>
      <c r="C37" s="778">
        <v>0</v>
      </c>
      <c r="D37" s="778">
        <v>0</v>
      </c>
      <c r="E37" s="778">
        <v>0</v>
      </c>
      <c r="F37" s="778">
        <f>+B37+C37+D37-E37</f>
        <v>0</v>
      </c>
      <c r="G37" s="776"/>
      <c r="H37" s="778">
        <v>0</v>
      </c>
      <c r="I37" s="778">
        <v>0</v>
      </c>
      <c r="J37" s="778">
        <v>0</v>
      </c>
      <c r="K37" s="778">
        <f t="shared" si="4"/>
        <v>0</v>
      </c>
      <c r="L37" s="776"/>
      <c r="M37" s="778">
        <f>+F37-K37</f>
        <v>0</v>
      </c>
      <c r="N37" s="776"/>
      <c r="O37" s="778">
        <v>0</v>
      </c>
      <c r="P37" s="784"/>
    </row>
    <row r="38" spans="1:16">
      <c r="A38" s="131" t="s">
        <v>329</v>
      </c>
      <c r="B38" s="778">
        <v>0</v>
      </c>
      <c r="C38" s="778">
        <v>0</v>
      </c>
      <c r="D38" s="778">
        <v>0</v>
      </c>
      <c r="E38" s="778">
        <v>0</v>
      </c>
      <c r="F38" s="778">
        <f>+B38+C38+D38-E38</f>
        <v>0</v>
      </c>
      <c r="G38" s="776"/>
      <c r="H38" s="778">
        <v>0</v>
      </c>
      <c r="I38" s="778">
        <v>0</v>
      </c>
      <c r="J38" s="778">
        <v>0</v>
      </c>
      <c r="K38" s="778">
        <f>+H38+I38-J38</f>
        <v>0</v>
      </c>
      <c r="L38" s="776"/>
      <c r="M38" s="778">
        <f>+F38-K38</f>
        <v>0</v>
      </c>
      <c r="N38" s="776"/>
      <c r="O38" s="778">
        <v>0</v>
      </c>
      <c r="P38" s="784"/>
    </row>
    <row r="39" spans="1:16" ht="25.5">
      <c r="A39" s="131" t="s">
        <v>782</v>
      </c>
      <c r="B39" s="781">
        <v>0</v>
      </c>
      <c r="C39" s="781">
        <v>0</v>
      </c>
      <c r="D39" s="781">
        <v>0</v>
      </c>
      <c r="E39" s="781">
        <v>0</v>
      </c>
      <c r="F39" s="781">
        <f>+B39+C39+D39-E39</f>
        <v>0</v>
      </c>
      <c r="G39" s="776"/>
      <c r="H39" s="781">
        <v>0</v>
      </c>
      <c r="I39" s="781">
        <v>0</v>
      </c>
      <c r="J39" s="781">
        <v>0</v>
      </c>
      <c r="K39" s="781">
        <f t="shared" si="4"/>
        <v>0</v>
      </c>
      <c r="L39" s="776"/>
      <c r="M39" s="781">
        <f>+F39-K39</f>
        <v>0</v>
      </c>
      <c r="N39" s="776"/>
      <c r="O39" s="781">
        <v>0</v>
      </c>
      <c r="P39" s="784"/>
    </row>
    <row r="40" spans="1:16">
      <c r="A40" s="43" t="s">
        <v>783</v>
      </c>
      <c r="B40" s="41">
        <f>SUM(B41:B42)</f>
        <v>0</v>
      </c>
      <c r="C40" s="41">
        <f>SUM(C41:C42)</f>
        <v>0</v>
      </c>
      <c r="D40" s="41">
        <f>SUM(D41:D42)</f>
        <v>0</v>
      </c>
      <c r="E40" s="41">
        <f>SUM(E41:E42)</f>
        <v>0</v>
      </c>
      <c r="F40" s="41">
        <f>SUM(F41:F42)</f>
        <v>0</v>
      </c>
      <c r="G40" s="41"/>
      <c r="H40" s="41">
        <f t="shared" ref="H40:M40" si="5">SUM(H41:H42)</f>
        <v>0</v>
      </c>
      <c r="I40" s="41">
        <f t="shared" si="5"/>
        <v>0</v>
      </c>
      <c r="J40" s="41">
        <f>SUM(J41:J42)</f>
        <v>0</v>
      </c>
      <c r="K40" s="41">
        <f t="shared" si="5"/>
        <v>0</v>
      </c>
      <c r="L40" s="41">
        <f t="shared" si="5"/>
        <v>0</v>
      </c>
      <c r="M40" s="41">
        <f t="shared" si="5"/>
        <v>0</v>
      </c>
      <c r="N40" s="41"/>
      <c r="O40" s="41">
        <f>SUM(O41:O42)</f>
        <v>0</v>
      </c>
      <c r="P40" s="42"/>
    </row>
    <row r="41" spans="1:16">
      <c r="A41" s="131" t="s">
        <v>1187</v>
      </c>
      <c r="B41" s="775">
        <v>0</v>
      </c>
      <c r="C41" s="775">
        <v>0</v>
      </c>
      <c r="D41" s="775">
        <v>0</v>
      </c>
      <c r="E41" s="775">
        <v>0</v>
      </c>
      <c r="F41" s="775">
        <f>+B41+C41+D41-E41</f>
        <v>0</v>
      </c>
      <c r="G41" s="776"/>
      <c r="H41" s="775">
        <v>0</v>
      </c>
      <c r="I41" s="775">
        <v>0</v>
      </c>
      <c r="J41" s="775">
        <v>0</v>
      </c>
      <c r="K41" s="775">
        <v>0</v>
      </c>
      <c r="L41" s="776"/>
      <c r="M41" s="775">
        <f>+F41-K41</f>
        <v>0</v>
      </c>
      <c r="N41" s="776"/>
      <c r="O41" s="775">
        <v>0</v>
      </c>
      <c r="P41" s="784"/>
    </row>
    <row r="42" spans="1:16">
      <c r="A42" s="131" t="s">
        <v>784</v>
      </c>
      <c r="B42" s="781">
        <v>0</v>
      </c>
      <c r="C42" s="781">
        <v>0</v>
      </c>
      <c r="D42" s="781">
        <v>0</v>
      </c>
      <c r="E42" s="781">
        <v>0</v>
      </c>
      <c r="F42" s="781">
        <f>+B42+C42+D42-E42</f>
        <v>0</v>
      </c>
      <c r="G42" s="776"/>
      <c r="H42" s="781">
        <v>0</v>
      </c>
      <c r="I42" s="781">
        <v>0</v>
      </c>
      <c r="J42" s="781">
        <v>0</v>
      </c>
      <c r="K42" s="781">
        <f t="shared" si="4"/>
        <v>0</v>
      </c>
      <c r="L42" s="776"/>
      <c r="M42" s="781">
        <f>+F42-K42</f>
        <v>0</v>
      </c>
      <c r="N42" s="776"/>
      <c r="O42" s="781">
        <v>0</v>
      </c>
      <c r="P42" s="784"/>
    </row>
    <row r="43" spans="1:16" ht="25.5">
      <c r="A43" s="43" t="s">
        <v>649</v>
      </c>
      <c r="B43" s="41">
        <f>B44</f>
        <v>0</v>
      </c>
      <c r="C43" s="41">
        <f>C44</f>
        <v>0</v>
      </c>
      <c r="D43" s="41">
        <f>D44</f>
        <v>0</v>
      </c>
      <c r="E43" s="41">
        <f>E44</f>
        <v>0</v>
      </c>
      <c r="F43" s="41">
        <f>F44</f>
        <v>0</v>
      </c>
      <c r="G43" s="41"/>
      <c r="H43" s="41">
        <f t="shared" ref="H43:M43" si="6">H44</f>
        <v>0</v>
      </c>
      <c r="I43" s="41">
        <f t="shared" si="6"/>
        <v>0</v>
      </c>
      <c r="J43" s="41">
        <f t="shared" si="6"/>
        <v>0</v>
      </c>
      <c r="K43" s="41">
        <f t="shared" si="6"/>
        <v>0</v>
      </c>
      <c r="L43" s="41">
        <f t="shared" si="6"/>
        <v>0</v>
      </c>
      <c r="M43" s="41">
        <f t="shared" si="6"/>
        <v>0</v>
      </c>
      <c r="N43" s="41"/>
      <c r="O43" s="41">
        <f>O44</f>
        <v>0</v>
      </c>
      <c r="P43" s="42"/>
    </row>
    <row r="44" spans="1:16">
      <c r="A44" s="131" t="s">
        <v>648</v>
      </c>
      <c r="B44" s="792">
        <v>0</v>
      </c>
      <c r="C44" s="792">
        <v>0</v>
      </c>
      <c r="D44" s="792">
        <v>0</v>
      </c>
      <c r="E44" s="792">
        <v>0</v>
      </c>
      <c r="F44" s="792">
        <f>+B44+C44+D44-E44</f>
        <v>0</v>
      </c>
      <c r="G44" s="776"/>
      <c r="H44" s="792">
        <v>0</v>
      </c>
      <c r="I44" s="792">
        <v>0</v>
      </c>
      <c r="J44" s="792">
        <v>0</v>
      </c>
      <c r="K44" s="792">
        <f t="shared" si="4"/>
        <v>0</v>
      </c>
      <c r="L44" s="776"/>
      <c r="M44" s="792">
        <f>+F44-K44</f>
        <v>0</v>
      </c>
      <c r="N44" s="776"/>
      <c r="O44" s="792">
        <v>0</v>
      </c>
      <c r="P44" s="784"/>
    </row>
    <row r="45" spans="1:16" ht="25.5">
      <c r="A45" s="43" t="s">
        <v>785</v>
      </c>
      <c r="B45" s="41">
        <f>SUM(B46:B47)</f>
        <v>0</v>
      </c>
      <c r="C45" s="41">
        <f>SUM(C46:C47)</f>
        <v>0</v>
      </c>
      <c r="D45" s="41">
        <f>SUM(D46:D47)</f>
        <v>0</v>
      </c>
      <c r="E45" s="41">
        <f>SUM(E46:E47)</f>
        <v>0</v>
      </c>
      <c r="F45" s="41">
        <f>SUM(F46:F47)</f>
        <v>0</v>
      </c>
      <c r="G45" s="41"/>
      <c r="H45" s="41">
        <f>SUM(H46:H47)</f>
        <v>0</v>
      </c>
      <c r="I45" s="41">
        <f>SUM(I46:I47)</f>
        <v>0</v>
      </c>
      <c r="J45" s="41">
        <f>SUM(J46:J47)</f>
        <v>0</v>
      </c>
      <c r="K45" s="41">
        <f>SUM(K46:K47)</f>
        <v>0</v>
      </c>
      <c r="L45" s="41"/>
      <c r="M45" s="41">
        <f>SUM(M46:M47)</f>
        <v>0</v>
      </c>
      <c r="N45" s="41"/>
      <c r="O45" s="41">
        <f>SUM(O46:O47)</f>
        <v>0</v>
      </c>
      <c r="P45" s="42"/>
    </row>
    <row r="46" spans="1:16">
      <c r="A46" s="131" t="s">
        <v>713</v>
      </c>
      <c r="B46" s="775">
        <v>0</v>
      </c>
      <c r="C46" s="775">
        <v>0</v>
      </c>
      <c r="D46" s="775">
        <v>0</v>
      </c>
      <c r="E46" s="775">
        <v>0</v>
      </c>
      <c r="F46" s="775">
        <f>+B46+C46+D46-E46</f>
        <v>0</v>
      </c>
      <c r="G46" s="776"/>
      <c r="H46" s="775">
        <v>0</v>
      </c>
      <c r="I46" s="775">
        <v>0</v>
      </c>
      <c r="J46" s="775">
        <v>0</v>
      </c>
      <c r="K46" s="775">
        <f t="shared" si="4"/>
        <v>0</v>
      </c>
      <c r="L46" s="776"/>
      <c r="M46" s="775">
        <f>+F46-K46</f>
        <v>0</v>
      </c>
      <c r="N46" s="776"/>
      <c r="O46" s="775">
        <v>0</v>
      </c>
      <c r="P46" s="784"/>
    </row>
    <row r="47" spans="1:16">
      <c r="A47" s="131" t="s">
        <v>786</v>
      </c>
      <c r="B47" s="781">
        <v>0</v>
      </c>
      <c r="C47" s="781">
        <v>0</v>
      </c>
      <c r="D47" s="781">
        <v>0</v>
      </c>
      <c r="E47" s="781">
        <v>0</v>
      </c>
      <c r="F47" s="781">
        <f>+B47+C47+D47-E47</f>
        <v>0</v>
      </c>
      <c r="G47" s="776"/>
      <c r="H47" s="781">
        <v>0</v>
      </c>
      <c r="I47" s="781">
        <v>0</v>
      </c>
      <c r="J47" s="781">
        <v>0</v>
      </c>
      <c r="K47" s="781">
        <f t="shared" si="4"/>
        <v>0</v>
      </c>
      <c r="L47" s="776"/>
      <c r="M47" s="781">
        <f>+F47-K47</f>
        <v>0</v>
      </c>
      <c r="N47" s="776"/>
      <c r="O47" s="781" t="s">
        <v>496</v>
      </c>
      <c r="P47" s="784"/>
    </row>
    <row r="48" spans="1:16" ht="25.5">
      <c r="A48" s="43" t="s">
        <v>787</v>
      </c>
      <c r="B48" s="41">
        <f>B49</f>
        <v>0</v>
      </c>
      <c r="C48" s="41">
        <f>C49</f>
        <v>0</v>
      </c>
      <c r="D48" s="41">
        <f>D49</f>
        <v>0</v>
      </c>
      <c r="E48" s="41">
        <f>E49</f>
        <v>0</v>
      </c>
      <c r="F48" s="41">
        <f>F49</f>
        <v>0</v>
      </c>
      <c r="G48" s="41"/>
      <c r="H48" s="41">
        <f>H49</f>
        <v>0</v>
      </c>
      <c r="I48" s="41">
        <f>I49</f>
        <v>0</v>
      </c>
      <c r="J48" s="41">
        <f>J49</f>
        <v>0</v>
      </c>
      <c r="K48" s="41">
        <f>K49</f>
        <v>0</v>
      </c>
      <c r="L48" s="41"/>
      <c r="M48" s="41">
        <f>M49</f>
        <v>0</v>
      </c>
      <c r="N48" s="41"/>
      <c r="O48" s="41">
        <f>O49</f>
        <v>0</v>
      </c>
      <c r="P48" s="42"/>
    </row>
    <row r="49" spans="1:16">
      <c r="A49" s="131" t="s">
        <v>788</v>
      </c>
      <c r="B49" s="792">
        <v>0</v>
      </c>
      <c r="C49" s="792">
        <v>0</v>
      </c>
      <c r="D49" s="792">
        <v>0</v>
      </c>
      <c r="E49" s="792">
        <v>0</v>
      </c>
      <c r="F49" s="792">
        <f>+B49+C49+D49-E49</f>
        <v>0</v>
      </c>
      <c r="G49" s="776"/>
      <c r="H49" s="792">
        <v>0</v>
      </c>
      <c r="I49" s="792">
        <v>0</v>
      </c>
      <c r="J49" s="792">
        <v>0</v>
      </c>
      <c r="K49" s="792">
        <f t="shared" si="4"/>
        <v>0</v>
      </c>
      <c r="L49" s="776"/>
      <c r="M49" s="792">
        <f>+F49-K49</f>
        <v>0</v>
      </c>
      <c r="N49" s="776"/>
      <c r="O49" s="792">
        <v>0</v>
      </c>
      <c r="P49" s="784"/>
    </row>
    <row r="50" spans="1:16">
      <c r="A50" s="43" t="s">
        <v>789</v>
      </c>
      <c r="B50" s="41">
        <f>B51</f>
        <v>0</v>
      </c>
      <c r="C50" s="41">
        <f>C51</f>
        <v>0</v>
      </c>
      <c r="D50" s="41">
        <f>D51</f>
        <v>0</v>
      </c>
      <c r="E50" s="41">
        <f>E51</f>
        <v>0</v>
      </c>
      <c r="F50" s="41">
        <f>F51</f>
        <v>0</v>
      </c>
      <c r="G50" s="41"/>
      <c r="H50" s="41">
        <f>H51</f>
        <v>0</v>
      </c>
      <c r="I50" s="41">
        <f>I51</f>
        <v>0</v>
      </c>
      <c r="J50" s="41">
        <f>J51</f>
        <v>0</v>
      </c>
      <c r="K50" s="41">
        <f>K51</f>
        <v>0</v>
      </c>
      <c r="L50" s="41"/>
      <c r="M50" s="41">
        <f>M51</f>
        <v>0</v>
      </c>
      <c r="N50" s="41"/>
      <c r="O50" s="41">
        <f>O51</f>
        <v>0</v>
      </c>
      <c r="P50" s="42"/>
    </row>
    <row r="51" spans="1:16">
      <c r="A51" s="131" t="s">
        <v>517</v>
      </c>
      <c r="B51" s="792">
        <v>0</v>
      </c>
      <c r="C51" s="792">
        <v>0</v>
      </c>
      <c r="D51" s="792">
        <v>0</v>
      </c>
      <c r="E51" s="792">
        <v>0</v>
      </c>
      <c r="F51" s="792">
        <f>+B51+C51+D51-E51</f>
        <v>0</v>
      </c>
      <c r="G51" s="776"/>
      <c r="H51" s="792">
        <v>0</v>
      </c>
      <c r="I51" s="792">
        <v>0</v>
      </c>
      <c r="J51" s="792">
        <v>0</v>
      </c>
      <c r="K51" s="792">
        <f t="shared" si="4"/>
        <v>0</v>
      </c>
      <c r="L51" s="776"/>
      <c r="M51" s="792">
        <f>+F51-K51</f>
        <v>0</v>
      </c>
      <c r="N51" s="776"/>
      <c r="O51" s="792">
        <v>0</v>
      </c>
      <c r="P51" s="784"/>
    </row>
    <row r="52" spans="1:16">
      <c r="A52" s="43" t="s">
        <v>790</v>
      </c>
      <c r="B52" s="41">
        <f>SUM(B53:B54)</f>
        <v>0</v>
      </c>
      <c r="C52" s="41">
        <f>SUM(C53:C54)</f>
        <v>0</v>
      </c>
      <c r="D52" s="41">
        <f>SUM(D53:D54)</f>
        <v>0</v>
      </c>
      <c r="E52" s="41">
        <f>SUM(E53:E54)</f>
        <v>0</v>
      </c>
      <c r="F52" s="41">
        <f>SUM(F53:F54)</f>
        <v>0</v>
      </c>
      <c r="G52" s="41"/>
      <c r="H52" s="41">
        <f>SUM(H53:H54)</f>
        <v>0</v>
      </c>
      <c r="I52" s="41">
        <f>SUM(I53:I54)</f>
        <v>0</v>
      </c>
      <c r="J52" s="41">
        <f>SUM(J53:J54)</f>
        <v>0</v>
      </c>
      <c r="K52" s="41">
        <f>SUM(K53:K54)</f>
        <v>0</v>
      </c>
      <c r="L52" s="41"/>
      <c r="M52" s="41">
        <f>SUM(M53:M54)</f>
        <v>0</v>
      </c>
      <c r="N52" s="41"/>
      <c r="O52" s="41">
        <f>SUM(O53:O54)</f>
        <v>0</v>
      </c>
      <c r="P52" s="42"/>
    </row>
    <row r="53" spans="1:16">
      <c r="A53" s="131" t="s">
        <v>791</v>
      </c>
      <c r="B53" s="775">
        <v>0</v>
      </c>
      <c r="C53" s="775">
        <v>0</v>
      </c>
      <c r="D53" s="775">
        <v>0</v>
      </c>
      <c r="E53" s="775">
        <v>0</v>
      </c>
      <c r="F53" s="775">
        <f>+B53+C53+D53-E53</f>
        <v>0</v>
      </c>
      <c r="G53" s="776"/>
      <c r="H53" s="775">
        <v>0</v>
      </c>
      <c r="I53" s="775">
        <v>0</v>
      </c>
      <c r="J53" s="775">
        <v>0</v>
      </c>
      <c r="K53" s="775">
        <f t="shared" si="4"/>
        <v>0</v>
      </c>
      <c r="L53" s="776"/>
      <c r="M53" s="775">
        <f>+F53-K53</f>
        <v>0</v>
      </c>
      <c r="N53" s="776"/>
      <c r="O53" s="775">
        <v>0</v>
      </c>
      <c r="P53" s="784"/>
    </row>
    <row r="54" spans="1:16">
      <c r="A54" s="131" t="s">
        <v>792</v>
      </c>
      <c r="B54" s="781">
        <v>0</v>
      </c>
      <c r="C54" s="781">
        <v>0</v>
      </c>
      <c r="D54" s="781">
        <v>0</v>
      </c>
      <c r="E54" s="781">
        <v>0</v>
      </c>
      <c r="F54" s="781">
        <f>+B54+C54+D54-E54</f>
        <v>0</v>
      </c>
      <c r="G54" s="776"/>
      <c r="H54" s="781">
        <v>0</v>
      </c>
      <c r="I54" s="781">
        <v>0</v>
      </c>
      <c r="J54" s="781">
        <v>0</v>
      </c>
      <c r="K54" s="781">
        <f t="shared" si="4"/>
        <v>0</v>
      </c>
      <c r="L54" s="776"/>
      <c r="M54" s="781">
        <f>+F54-K54</f>
        <v>0</v>
      </c>
      <c r="N54" s="776"/>
      <c r="O54" s="781">
        <v>0</v>
      </c>
      <c r="P54" s="784"/>
    </row>
    <row r="55" spans="1:16">
      <c r="A55" s="131"/>
      <c r="B55" s="776"/>
      <c r="C55" s="776"/>
      <c r="D55" s="776"/>
      <c r="E55" s="776"/>
      <c r="F55" s="776"/>
      <c r="G55" s="776"/>
      <c r="H55" s="776"/>
      <c r="I55" s="776">
        <v>0</v>
      </c>
      <c r="J55" s="776">
        <v>0</v>
      </c>
      <c r="K55" s="776"/>
      <c r="L55" s="776"/>
      <c r="M55" s="776"/>
      <c r="N55" s="776"/>
      <c r="O55" s="41"/>
      <c r="P55" s="784"/>
    </row>
    <row r="56" spans="1:16">
      <c r="A56" s="43" t="s">
        <v>793</v>
      </c>
      <c r="B56" s="41">
        <f>SUM(B57:B58)</f>
        <v>0</v>
      </c>
      <c r="C56" s="41">
        <f>SUM(C57:C58)</f>
        <v>0</v>
      </c>
      <c r="D56" s="41">
        <f>SUM(D57:D58)</f>
        <v>0</v>
      </c>
      <c r="E56" s="41">
        <f>SUM(E57:E58)</f>
        <v>0</v>
      </c>
      <c r="F56" s="41">
        <f>SUM(F57:F58)</f>
        <v>0</v>
      </c>
      <c r="G56" s="41"/>
      <c r="H56" s="41">
        <f>SUM(H57:H58)</f>
        <v>0</v>
      </c>
      <c r="I56" s="41">
        <f>SUM(I57:I58)</f>
        <v>0</v>
      </c>
      <c r="J56" s="41">
        <f>SUM(J57:J58)</f>
        <v>0</v>
      </c>
      <c r="K56" s="41">
        <f>SUM(K57:K58)</f>
        <v>0</v>
      </c>
      <c r="L56" s="41"/>
      <c r="M56" s="41">
        <f>SUM(M57:M58)</f>
        <v>0</v>
      </c>
      <c r="N56" s="41"/>
      <c r="O56" s="41">
        <f>SUM(O57:O58)</f>
        <v>0</v>
      </c>
      <c r="P56" s="42"/>
    </row>
    <row r="57" spans="1:16" ht="25.5">
      <c r="A57" s="131" t="s">
        <v>794</v>
      </c>
      <c r="B57" s="775">
        <v>0</v>
      </c>
      <c r="C57" s="775">
        <v>0</v>
      </c>
      <c r="D57" s="775">
        <v>0</v>
      </c>
      <c r="E57" s="775">
        <v>0</v>
      </c>
      <c r="F57" s="775">
        <f>+B57+C57+D57-E57</f>
        <v>0</v>
      </c>
      <c r="G57" s="776"/>
      <c r="H57" s="775">
        <v>0</v>
      </c>
      <c r="I57" s="775">
        <v>0</v>
      </c>
      <c r="J57" s="775">
        <v>0</v>
      </c>
      <c r="K57" s="775">
        <f>+H57+I57-J57</f>
        <v>0</v>
      </c>
      <c r="L57" s="776"/>
      <c r="M57" s="775">
        <f>+F57-K57</f>
        <v>0</v>
      </c>
      <c r="N57" s="776"/>
      <c r="O57" s="775">
        <v>0</v>
      </c>
      <c r="P57" s="784"/>
    </row>
    <row r="58" spans="1:16">
      <c r="A58" s="131" t="s">
        <v>518</v>
      </c>
      <c r="B58" s="781">
        <v>0</v>
      </c>
      <c r="C58" s="781">
        <v>0</v>
      </c>
      <c r="D58" s="781">
        <v>0</v>
      </c>
      <c r="E58" s="781">
        <v>0</v>
      </c>
      <c r="F58" s="781">
        <f>+B58+C58+D58-E58</f>
        <v>0</v>
      </c>
      <c r="G58" s="776"/>
      <c r="H58" s="781">
        <v>0</v>
      </c>
      <c r="I58" s="781">
        <v>0</v>
      </c>
      <c r="J58" s="781">
        <v>0</v>
      </c>
      <c r="K58" s="781">
        <v>0</v>
      </c>
      <c r="L58" s="776"/>
      <c r="M58" s="781">
        <f>+F58-K58</f>
        <v>0</v>
      </c>
      <c r="N58" s="776"/>
      <c r="O58" s="781">
        <v>0</v>
      </c>
      <c r="P58" s="784"/>
    </row>
    <row r="59" spans="1:16">
      <c r="A59" s="48" t="s">
        <v>1188</v>
      </c>
      <c r="B59" s="303">
        <f>B56+B52+B50+B48+B45+B43+B40+B35+B31+B27+B24+B10+B8</f>
        <v>35706000</v>
      </c>
      <c r="C59" s="303">
        <f>C56+C52+C50+C48+C45+C43+C40+C35+C31+C27+C24+C10+C8</f>
        <v>0</v>
      </c>
      <c r="D59" s="303">
        <f>D56+D52+D50+D48+D45+D43+D40+D35+D31+D27+D24+D10+D8</f>
        <v>0</v>
      </c>
      <c r="E59" s="303">
        <f>E56+E52+E50+E48+E45+E43+E40+E35+E31+E27+E24+E10+E8</f>
        <v>465000</v>
      </c>
      <c r="F59" s="303">
        <f>F56+F52+F50+F48+F45+F43+F40+F35+F31+F27+F24+F10+F8</f>
        <v>35241000</v>
      </c>
      <c r="G59" s="303"/>
      <c r="H59" s="303">
        <f t="shared" ref="H59:M59" si="7">H56+H52+H50+H48+H45+H43+H40+H35+H31+H27+H24+H10+H8</f>
        <v>0</v>
      </c>
      <c r="I59" s="303">
        <f t="shared" si="7"/>
        <v>0</v>
      </c>
      <c r="J59" s="303">
        <f t="shared" si="7"/>
        <v>0</v>
      </c>
      <c r="K59" s="303">
        <f t="shared" si="7"/>
        <v>0</v>
      </c>
      <c r="L59" s="303">
        <f t="shared" si="7"/>
        <v>0</v>
      </c>
      <c r="M59" s="303">
        <f t="shared" si="7"/>
        <v>35241000</v>
      </c>
      <c r="N59" s="303"/>
      <c r="O59" s="303">
        <f>O56+O52+O50+O48+O45+O43+O40+O35+O31+O27+O24+O10+O8</f>
        <v>0</v>
      </c>
      <c r="P59" s="793"/>
    </row>
  </sheetData>
  <mergeCells count="6">
    <mergeCell ref="A1:O1"/>
    <mergeCell ref="A2:O2"/>
    <mergeCell ref="A3:O3"/>
    <mergeCell ref="B5:F5"/>
    <mergeCell ref="H5:K5"/>
    <mergeCell ref="O5:P5"/>
  </mergeCells>
  <printOptions horizontalCentered="1"/>
  <pageMargins left="0.70866141732283472" right="0.70866141732283472" top="0.74803149606299213" bottom="0.74803149606299213" header="0.31496062992125984" footer="0.31496062992125984"/>
  <pageSetup paperSize="9" scale="53"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sheetPr>
    <tabColor rgb="FF66FF66"/>
    <pageSetUpPr fitToPage="1"/>
  </sheetPr>
  <dimension ref="A1:X81"/>
  <sheetViews>
    <sheetView view="pageBreakPreview" topLeftCell="A48" zoomScaleSheetLayoutView="100" workbookViewId="0">
      <selection activeCell="C43" activeCellId="1" sqref="E18 C43"/>
    </sheetView>
  </sheetViews>
  <sheetFormatPr defaultRowHeight="12.75"/>
  <cols>
    <col min="1" max="2" width="2.28515625" style="363" customWidth="1"/>
    <col min="3" max="3" width="15.5703125" style="510" bestFit="1" customWidth="1"/>
    <col min="4" max="4" width="2.28515625" style="510" customWidth="1"/>
    <col min="5" max="5" width="15.85546875" style="510" bestFit="1" customWidth="1"/>
    <col min="6" max="6" width="2.28515625" style="510" customWidth="1"/>
    <col min="7" max="7" width="15.5703125" style="510" bestFit="1" customWidth="1"/>
    <col min="8" max="8" width="2.28515625" style="363" customWidth="1"/>
    <col min="9" max="9" width="16.7109375" style="363" customWidth="1"/>
    <col min="10" max="10" width="3" style="363" customWidth="1"/>
    <col min="11" max="11" width="13.28515625" style="363" customWidth="1"/>
    <col min="12" max="12" width="9.140625" style="363"/>
    <col min="13" max="13" width="14.5703125" style="363" customWidth="1"/>
    <col min="14" max="14" width="9.140625" style="363"/>
    <col min="15" max="15" width="15" style="363" customWidth="1"/>
    <col min="16" max="16" width="2.28515625" style="363" customWidth="1"/>
    <col min="17" max="17" width="2.42578125" style="363" customWidth="1"/>
    <col min="18" max="16384" width="9.140625" style="363"/>
  </cols>
  <sheetData>
    <row r="1" spans="1:24">
      <c r="A1" s="1723" t="s">
        <v>812</v>
      </c>
      <c r="B1" s="1724"/>
      <c r="C1" s="1724"/>
      <c r="D1" s="1724"/>
      <c r="E1" s="1724"/>
      <c r="F1" s="1724"/>
      <c r="G1" s="1724"/>
      <c r="H1" s="1724"/>
      <c r="I1" s="1724"/>
      <c r="J1" s="1724"/>
      <c r="K1" s="1724"/>
      <c r="L1" s="1724"/>
      <c r="M1" s="1724"/>
      <c r="N1" s="1724"/>
      <c r="O1" s="1724"/>
      <c r="P1" s="1724"/>
      <c r="Q1" s="586"/>
      <c r="R1" s="364"/>
      <c r="S1" s="364"/>
      <c r="T1" s="364"/>
      <c r="U1" s="364"/>
      <c r="V1" s="364"/>
      <c r="W1" s="364"/>
      <c r="X1" s="364"/>
    </row>
    <row r="2" spans="1:24">
      <c r="A2" s="1718" t="s">
        <v>813</v>
      </c>
      <c r="B2" s="1686"/>
      <c r="C2" s="1686"/>
      <c r="D2" s="1686"/>
      <c r="E2" s="1686"/>
      <c r="F2" s="1686"/>
      <c r="G2" s="1686"/>
      <c r="H2" s="1686"/>
      <c r="I2" s="1686"/>
      <c r="J2" s="1686"/>
      <c r="K2" s="1686"/>
      <c r="L2" s="1686"/>
      <c r="M2" s="1686"/>
      <c r="N2" s="1686"/>
      <c r="O2" s="1686"/>
      <c r="P2" s="1686"/>
      <c r="Q2" s="392"/>
      <c r="R2" s="364"/>
      <c r="S2" s="364"/>
      <c r="T2" s="364"/>
      <c r="U2" s="364"/>
      <c r="V2" s="364"/>
      <c r="W2" s="364"/>
      <c r="X2" s="364"/>
    </row>
    <row r="3" spans="1:24">
      <c r="A3" s="1718" t="s">
        <v>2078</v>
      </c>
      <c r="B3" s="1686"/>
      <c r="C3" s="1686"/>
      <c r="D3" s="1686"/>
      <c r="E3" s="1686"/>
      <c r="F3" s="1686"/>
      <c r="G3" s="1686"/>
      <c r="H3" s="1686"/>
      <c r="I3" s="1686"/>
      <c r="J3" s="1686"/>
      <c r="K3" s="1686"/>
      <c r="L3" s="1686"/>
      <c r="M3" s="1686"/>
      <c r="N3" s="1686"/>
      <c r="O3" s="1686"/>
      <c r="P3" s="1686"/>
      <c r="Q3" s="392"/>
      <c r="R3" s="364"/>
      <c r="S3" s="364"/>
      <c r="T3" s="364"/>
      <c r="U3" s="364"/>
      <c r="V3" s="364"/>
      <c r="W3" s="364"/>
      <c r="X3" s="364"/>
    </row>
    <row r="4" spans="1:24" ht="13.5" thickBot="1">
      <c r="A4" s="388"/>
      <c r="B4" s="369"/>
      <c r="C4" s="209"/>
      <c r="D4" s="209"/>
      <c r="E4" s="209"/>
      <c r="F4" s="209"/>
      <c r="G4" s="209"/>
      <c r="H4" s="369"/>
      <c r="I4" s="369"/>
      <c r="J4" s="369"/>
      <c r="K4" s="369"/>
      <c r="L4" s="369"/>
      <c r="M4" s="369"/>
      <c r="N4" s="369"/>
      <c r="O4" s="369"/>
      <c r="P4" s="369"/>
      <c r="Q4" s="389"/>
    </row>
    <row r="5" spans="1:24">
      <c r="A5" s="1777"/>
      <c r="B5" s="1237"/>
      <c r="C5" s="362" t="s">
        <v>1796</v>
      </c>
      <c r="D5" s="1768"/>
      <c r="E5" s="362" t="s">
        <v>1796</v>
      </c>
      <c r="F5" s="1768"/>
      <c r="G5" s="362" t="s">
        <v>1796</v>
      </c>
      <c r="H5" s="1770"/>
      <c r="I5" s="1774"/>
      <c r="J5" s="1772"/>
      <c r="K5" s="362" t="s">
        <v>2077</v>
      </c>
      <c r="L5" s="1768"/>
      <c r="M5" s="362" t="s">
        <v>2077</v>
      </c>
      <c r="N5" s="1768"/>
      <c r="O5" s="362" t="s">
        <v>2077</v>
      </c>
      <c r="P5" s="416"/>
      <c r="Q5" s="389"/>
    </row>
    <row r="6" spans="1:24">
      <c r="A6" s="1776"/>
      <c r="B6" s="1238"/>
      <c r="C6" s="1239" t="s">
        <v>708</v>
      </c>
      <c r="D6" s="1769"/>
      <c r="E6" s="1239" t="s">
        <v>708</v>
      </c>
      <c r="F6" s="1769"/>
      <c r="G6" s="1239" t="s">
        <v>708</v>
      </c>
      <c r="H6" s="1771"/>
      <c r="I6" s="1775"/>
      <c r="J6" s="1773"/>
      <c r="K6" s="1239" t="s">
        <v>708</v>
      </c>
      <c r="L6" s="1769"/>
      <c r="M6" s="1239" t="s">
        <v>708</v>
      </c>
      <c r="N6" s="1769"/>
      <c r="O6" s="1239" t="s">
        <v>708</v>
      </c>
      <c r="P6" s="389"/>
      <c r="Q6" s="389"/>
    </row>
    <row r="7" spans="1:24">
      <c r="A7" s="1776"/>
      <c r="B7" s="1238"/>
      <c r="C7" s="1239" t="s">
        <v>352</v>
      </c>
      <c r="D7" s="1769"/>
      <c r="E7" s="1239" t="s">
        <v>354</v>
      </c>
      <c r="F7" s="1769"/>
      <c r="G7" s="1239" t="s">
        <v>797</v>
      </c>
      <c r="H7" s="1771"/>
      <c r="I7" s="1775"/>
      <c r="J7" s="1773"/>
      <c r="K7" s="1239" t="s">
        <v>352</v>
      </c>
      <c r="L7" s="1769"/>
      <c r="M7" s="1239" t="s">
        <v>354</v>
      </c>
      <c r="N7" s="1769"/>
      <c r="O7" s="1239" t="s">
        <v>797</v>
      </c>
      <c r="P7" s="389"/>
      <c r="Q7" s="389"/>
    </row>
    <row r="8" spans="1:24">
      <c r="A8" s="1776"/>
      <c r="B8" s="1238"/>
      <c r="C8" s="1239"/>
      <c r="D8" s="1769"/>
      <c r="E8" s="1239" t="s">
        <v>36</v>
      </c>
      <c r="F8" s="1769"/>
      <c r="G8" s="1239" t="s">
        <v>798</v>
      </c>
      <c r="H8" s="1771"/>
      <c r="I8" s="1775"/>
      <c r="J8" s="1773"/>
      <c r="K8" s="1239"/>
      <c r="L8" s="1769"/>
      <c r="M8" s="1239" t="s">
        <v>36</v>
      </c>
      <c r="N8" s="1769"/>
      <c r="O8" s="1239" t="s">
        <v>798</v>
      </c>
      <c r="P8" s="389"/>
      <c r="Q8" s="389"/>
    </row>
    <row r="9" spans="1:24">
      <c r="A9" s="1776"/>
      <c r="B9" s="1238"/>
      <c r="C9" s="1239" t="s">
        <v>1314</v>
      </c>
      <c r="D9" s="1769"/>
      <c r="E9" s="1239" t="s">
        <v>1314</v>
      </c>
      <c r="F9" s="1769"/>
      <c r="G9" s="1239" t="s">
        <v>1314</v>
      </c>
      <c r="H9" s="1771"/>
      <c r="I9" s="1775"/>
      <c r="J9" s="1773"/>
      <c r="K9" s="1239" t="s">
        <v>1314</v>
      </c>
      <c r="L9" s="1769"/>
      <c r="M9" s="1239" t="s">
        <v>1314</v>
      </c>
      <c r="N9" s="1769"/>
      <c r="O9" s="1239" t="s">
        <v>1314</v>
      </c>
      <c r="P9" s="389"/>
      <c r="Q9" s="389"/>
    </row>
    <row r="10" spans="1:24" ht="25.5">
      <c r="A10" s="1238"/>
      <c r="B10" s="1238"/>
      <c r="C10" s="204">
        <f>C11</f>
        <v>9841314.3499999996</v>
      </c>
      <c r="D10" s="161"/>
      <c r="E10" s="204">
        <f>E11</f>
        <v>27034042.279999997</v>
      </c>
      <c r="F10" s="161"/>
      <c r="G10" s="204">
        <f>G11</f>
        <v>-17192727.93</v>
      </c>
      <c r="H10" s="205"/>
      <c r="I10" s="361" t="s">
        <v>799</v>
      </c>
      <c r="J10" s="160"/>
      <c r="K10" s="204">
        <f>K11</f>
        <v>10774049.229999999</v>
      </c>
      <c r="L10" s="161"/>
      <c r="M10" s="204">
        <f>M11</f>
        <v>19712434.299999997</v>
      </c>
      <c r="N10" s="161"/>
      <c r="O10" s="204">
        <f>O11</f>
        <v>-8938385.0699999984</v>
      </c>
      <c r="P10" s="389"/>
      <c r="Q10" s="389"/>
    </row>
    <row r="11" spans="1:24" ht="25.5">
      <c r="A11" s="795"/>
      <c r="B11" s="795"/>
      <c r="C11" s="796">
        <f>-'TRAIL BALANCE'!E14</f>
        <v>9841314.3499999996</v>
      </c>
      <c r="D11" s="414"/>
      <c r="E11" s="796">
        <f>'TRAIL BALANCE'!E64+'TRAIL BALANCE'!E90</f>
        <v>27034042.279999997</v>
      </c>
      <c r="F11" s="414"/>
      <c r="G11" s="796">
        <f>+C11-E11</f>
        <v>-17192727.93</v>
      </c>
      <c r="H11" s="797"/>
      <c r="I11" s="589" t="s">
        <v>799</v>
      </c>
      <c r="J11" s="1234"/>
      <c r="K11" s="796">
        <f>-'TRAIL BALANCE'!F14</f>
        <v>10774049.229999999</v>
      </c>
      <c r="L11" s="414"/>
      <c r="M11" s="796">
        <f>'TRAIL BALANCE'!F64+'TRAIL BALANCE'!F90</f>
        <v>19712434.299999997</v>
      </c>
      <c r="N11" s="414"/>
      <c r="O11" s="796">
        <f>+K11-M11</f>
        <v>-8938385.0699999984</v>
      </c>
      <c r="P11" s="389"/>
      <c r="Q11" s="389"/>
    </row>
    <row r="12" spans="1:24">
      <c r="A12" s="795"/>
      <c r="B12" s="795"/>
      <c r="C12" s="798"/>
      <c r="D12" s="414"/>
      <c r="E12" s="798"/>
      <c r="F12" s="414"/>
      <c r="G12" s="798"/>
      <c r="H12" s="797"/>
      <c r="I12" s="589"/>
      <c r="J12" s="1234"/>
      <c r="K12" s="798"/>
      <c r="L12" s="414"/>
      <c r="M12" s="798"/>
      <c r="N12" s="414"/>
      <c r="O12" s="798"/>
      <c r="P12" s="389"/>
      <c r="Q12" s="389"/>
    </row>
    <row r="13" spans="1:24">
      <c r="A13" s="795"/>
      <c r="B13" s="795"/>
      <c r="C13" s="204">
        <f>SUM(C14:C18)</f>
        <v>24745273.839999996</v>
      </c>
      <c r="D13" s="161"/>
      <c r="E13" s="204">
        <f>SUM(E14:E18)</f>
        <v>26925955.09</v>
      </c>
      <c r="F13" s="161"/>
      <c r="G13" s="204">
        <f>SUM(G14:G18)</f>
        <v>-2180681.2500000042</v>
      </c>
      <c r="H13" s="205"/>
      <c r="I13" s="361" t="s">
        <v>800</v>
      </c>
      <c r="J13" s="160"/>
      <c r="K13" s="204">
        <f>SUM(K14:K18)</f>
        <v>29658775.02</v>
      </c>
      <c r="L13" s="161"/>
      <c r="M13" s="204">
        <f>SUM(M14:M18)</f>
        <v>28873335.340000004</v>
      </c>
      <c r="N13" s="161"/>
      <c r="O13" s="204">
        <f>SUM(O14:O18)</f>
        <v>785439.67999999411</v>
      </c>
      <c r="P13" s="389"/>
      <c r="Q13" s="389"/>
    </row>
    <row r="14" spans="1:24">
      <c r="A14" s="795"/>
      <c r="B14" s="795"/>
      <c r="C14" s="799">
        <f>-'TRAIL BALANCE'!E189</f>
        <v>23227273.839999996</v>
      </c>
      <c r="D14" s="414"/>
      <c r="E14" s="799">
        <f>'TRAIL BALANCE'!E231+'TRAIL BALANCE'!E245</f>
        <v>14675671.49</v>
      </c>
      <c r="F14" s="414"/>
      <c r="G14" s="799">
        <f>+C14-E14</f>
        <v>8551602.3499999959</v>
      </c>
      <c r="H14" s="797"/>
      <c r="I14" s="589" t="s">
        <v>633</v>
      </c>
      <c r="J14" s="1234"/>
      <c r="K14" s="799">
        <f>-'TRAIL BALANCE'!F189</f>
        <v>28696159.02</v>
      </c>
      <c r="L14" s="414"/>
      <c r="M14" s="799">
        <f>'TRAIL BALANCE'!F231+'TRAIL BALANCE'!F245</f>
        <v>23399996.060000006</v>
      </c>
      <c r="N14" s="414"/>
      <c r="O14" s="799">
        <f>+K14-M14</f>
        <v>5296162.9599999934</v>
      </c>
      <c r="P14" s="389"/>
      <c r="Q14" s="389"/>
    </row>
    <row r="15" spans="1:24">
      <c r="A15" s="795"/>
      <c r="B15" s="795"/>
      <c r="C15" s="800">
        <v>0</v>
      </c>
      <c r="D15" s="414"/>
      <c r="E15" s="800">
        <f>'TRAIL BALANCE'!E146</f>
        <v>540791.89</v>
      </c>
      <c r="F15" s="414"/>
      <c r="G15" s="800">
        <f>+C15-E15</f>
        <v>-540791.89</v>
      </c>
      <c r="H15" s="797"/>
      <c r="I15" s="589" t="s">
        <v>801</v>
      </c>
      <c r="J15" s="1234"/>
      <c r="K15" s="800">
        <v>0</v>
      </c>
      <c r="L15" s="414"/>
      <c r="M15" s="800">
        <f>'TRAIL BALANCE'!F146</f>
        <v>596691.38</v>
      </c>
      <c r="N15" s="414"/>
      <c r="O15" s="800">
        <f>+K15-M15</f>
        <v>-596691.38</v>
      </c>
      <c r="P15" s="389"/>
      <c r="Q15" s="389"/>
    </row>
    <row r="16" spans="1:24" ht="25.5">
      <c r="A16" s="795"/>
      <c r="B16" s="795"/>
      <c r="C16" s="800">
        <f>-'TRAIL BALANCE'!E248</f>
        <v>735000</v>
      </c>
      <c r="D16" s="414"/>
      <c r="E16" s="800">
        <f>'TRAIL BALANCE'!E270</f>
        <v>3137428.6</v>
      </c>
      <c r="F16" s="414"/>
      <c r="G16" s="800">
        <f>+C16-E16</f>
        <v>-2402428.6</v>
      </c>
      <c r="H16" s="797"/>
      <c r="I16" s="589" t="s">
        <v>802</v>
      </c>
      <c r="J16" s="1234"/>
      <c r="K16" s="800">
        <f>-'TRAIL BALANCE'!F248</f>
        <v>750000</v>
      </c>
      <c r="L16" s="414"/>
      <c r="M16" s="800">
        <f>'TRAIL BALANCE'!F270</f>
        <v>1914182.07</v>
      </c>
      <c r="N16" s="414"/>
      <c r="O16" s="800">
        <f>+K16-M16</f>
        <v>-1164182.07</v>
      </c>
      <c r="P16" s="389"/>
      <c r="Q16" s="389"/>
    </row>
    <row r="17" spans="1:17">
      <c r="A17" s="795"/>
      <c r="B17" s="795"/>
      <c r="C17" s="800">
        <f>-'TRAIL BALANCE'!E420</f>
        <v>783000</v>
      </c>
      <c r="D17" s="414"/>
      <c r="E17" s="800">
        <f>'TRAIL BALANCE'!E427</f>
        <v>5727078.75</v>
      </c>
      <c r="F17" s="414"/>
      <c r="G17" s="800">
        <f>+C17-E17</f>
        <v>-4944078.75</v>
      </c>
      <c r="H17" s="797"/>
      <c r="I17" s="589" t="s">
        <v>803</v>
      </c>
      <c r="J17" s="1234"/>
      <c r="K17" s="800">
        <f>-'TRAIL BALANCE'!F420</f>
        <v>212616</v>
      </c>
      <c r="L17" s="414"/>
      <c r="M17" s="800">
        <f>'TRAIL BALANCE'!F427</f>
        <v>377833.32</v>
      </c>
      <c r="N17" s="414"/>
      <c r="O17" s="800">
        <f>+K17-M17</f>
        <v>-165217.32</v>
      </c>
      <c r="P17" s="389"/>
      <c r="Q17" s="389"/>
    </row>
    <row r="18" spans="1:17">
      <c r="A18" s="795"/>
      <c r="B18" s="795"/>
      <c r="C18" s="801">
        <v>0</v>
      </c>
      <c r="D18" s="414"/>
      <c r="E18" s="801">
        <f>'TRAIL BALANCE'!E110+'TRAIL BALANCE'!E135</f>
        <v>2844984.36</v>
      </c>
      <c r="F18" s="414"/>
      <c r="G18" s="801">
        <f>+C18-E18</f>
        <v>-2844984.36</v>
      </c>
      <c r="H18" s="797"/>
      <c r="I18" s="589" t="s">
        <v>804</v>
      </c>
      <c r="J18" s="1234"/>
      <c r="K18" s="801">
        <f>-'TRAIL BALANCE'!F98</f>
        <v>0</v>
      </c>
      <c r="L18" s="414"/>
      <c r="M18" s="801">
        <f>'TRAIL BALANCE'!F110+'TRAIL BALANCE'!F135</f>
        <v>2584632.5099999993</v>
      </c>
      <c r="N18" s="414"/>
      <c r="O18" s="801">
        <f>+K18-M18</f>
        <v>-2584632.5099999993</v>
      </c>
      <c r="P18" s="389"/>
      <c r="Q18" s="389"/>
    </row>
    <row r="19" spans="1:17">
      <c r="A19" s="795"/>
      <c r="B19" s="795"/>
      <c r="C19" s="414"/>
      <c r="D19" s="414"/>
      <c r="E19" s="798"/>
      <c r="F19" s="414"/>
      <c r="G19" s="414"/>
      <c r="H19" s="797"/>
      <c r="I19" s="589"/>
      <c r="J19" s="1234"/>
      <c r="K19" s="414"/>
      <c r="L19" s="414"/>
      <c r="M19" s="798"/>
      <c r="N19" s="414"/>
      <c r="O19" s="414"/>
      <c r="P19" s="389"/>
      <c r="Q19" s="389"/>
    </row>
    <row r="20" spans="1:17" ht="25.5">
      <c r="A20" s="795"/>
      <c r="B20" s="795"/>
      <c r="C20" s="204">
        <f>SUM(C21:C24)</f>
        <v>0</v>
      </c>
      <c r="D20" s="161"/>
      <c r="E20" s="204">
        <f>SUM(E21:E24)</f>
        <v>1660603.6799999995</v>
      </c>
      <c r="F20" s="161"/>
      <c r="G20" s="204">
        <f>SUM(G21:G24)</f>
        <v>-1660603.6799999995</v>
      </c>
      <c r="H20" s="797"/>
      <c r="I20" s="361" t="s">
        <v>805</v>
      </c>
      <c r="J20" s="160"/>
      <c r="K20" s="204">
        <f>SUM(K21:K24)</f>
        <v>8552027.7699999996</v>
      </c>
      <c r="L20" s="161"/>
      <c r="M20" s="204">
        <f>SUM(M21:M24)</f>
        <v>9661128.7200000007</v>
      </c>
      <c r="N20" s="161"/>
      <c r="O20" s="204">
        <f>SUM(O21:O24)</f>
        <v>-1109100.95</v>
      </c>
      <c r="P20" s="389"/>
      <c r="Q20" s="389"/>
    </row>
    <row r="21" spans="1:17">
      <c r="A21" s="795"/>
      <c r="B21" s="795"/>
      <c r="C21" s="799">
        <v>0</v>
      </c>
      <c r="D21" s="414"/>
      <c r="E21" s="799">
        <f>'TRAIL BALANCE'!E95+'TRAIL BALANCE'!E370</f>
        <v>1162551.9199999997</v>
      </c>
      <c r="F21" s="414"/>
      <c r="G21" s="799">
        <f>+C21-E21</f>
        <v>-1162551.9199999997</v>
      </c>
      <c r="H21" s="797"/>
      <c r="I21" s="589" t="s">
        <v>467</v>
      </c>
      <c r="J21" s="1234"/>
      <c r="K21" s="799">
        <f>-'TRAIL BALANCE'!F342</f>
        <v>8552027.7699999996</v>
      </c>
      <c r="L21" s="414"/>
      <c r="M21" s="799">
        <f>'TRAIL BALANCE'!F370+'TRAIL BALANCE'!F95</f>
        <v>9144131.6899999995</v>
      </c>
      <c r="N21" s="414"/>
      <c r="O21" s="799">
        <f>+K21-M21</f>
        <v>-592103.91999999993</v>
      </c>
      <c r="P21" s="389"/>
      <c r="Q21" s="389"/>
    </row>
    <row r="22" spans="1:17">
      <c r="A22" s="795"/>
      <c r="B22" s="795"/>
      <c r="C22" s="800">
        <v>0</v>
      </c>
      <c r="D22" s="414"/>
      <c r="E22" s="800">
        <f>'TRAIL BALANCE'!E485</f>
        <v>2446.89</v>
      </c>
      <c r="F22" s="414"/>
      <c r="G22" s="800">
        <f>+C22-E22</f>
        <v>-2446.89</v>
      </c>
      <c r="H22" s="797"/>
      <c r="I22" s="589" t="s">
        <v>332</v>
      </c>
      <c r="J22" s="1234"/>
      <c r="K22" s="800">
        <v>0</v>
      </c>
      <c r="L22" s="414"/>
      <c r="M22" s="800">
        <f>'TRAIL BALANCE'!F485</f>
        <v>5240.9699999999993</v>
      </c>
      <c r="N22" s="414"/>
      <c r="O22" s="800">
        <f>+K22-M22</f>
        <v>-5240.9699999999993</v>
      </c>
      <c r="P22" s="389"/>
      <c r="Q22" s="389"/>
    </row>
    <row r="23" spans="1:17">
      <c r="A23" s="795"/>
      <c r="B23" s="795"/>
      <c r="C23" s="800">
        <v>0</v>
      </c>
      <c r="D23" s="414"/>
      <c r="E23" s="800">
        <f>'TRAIL BALANCE'!E498</f>
        <v>433406.38999999996</v>
      </c>
      <c r="F23" s="414"/>
      <c r="G23" s="800">
        <f>+C23-E23</f>
        <v>-433406.38999999996</v>
      </c>
      <c r="H23" s="797"/>
      <c r="I23" s="589" t="s">
        <v>330</v>
      </c>
      <c r="J23" s="1234"/>
      <c r="K23" s="800">
        <v>0</v>
      </c>
      <c r="L23" s="414"/>
      <c r="M23" s="800">
        <f>'TRAIL BALANCE'!F498</f>
        <v>441189.76</v>
      </c>
      <c r="N23" s="414"/>
      <c r="O23" s="800">
        <f>+K23-M23</f>
        <v>-441189.76</v>
      </c>
      <c r="P23" s="389"/>
      <c r="Q23" s="389"/>
    </row>
    <row r="24" spans="1:17">
      <c r="A24" s="795"/>
      <c r="B24" s="795"/>
      <c r="C24" s="801">
        <v>0</v>
      </c>
      <c r="D24" s="414"/>
      <c r="E24" s="801">
        <f>'TRAIL BALANCE'!E503</f>
        <v>62198.479999999996</v>
      </c>
      <c r="F24" s="414"/>
      <c r="G24" s="801">
        <f>+C24-E24</f>
        <v>-62198.479999999996</v>
      </c>
      <c r="H24" s="797"/>
      <c r="I24" s="589" t="s">
        <v>333</v>
      </c>
      <c r="J24" s="1234"/>
      <c r="K24" s="801">
        <v>0</v>
      </c>
      <c r="L24" s="414"/>
      <c r="M24" s="801">
        <f>'TRAIL BALANCE'!F503</f>
        <v>70566.3</v>
      </c>
      <c r="N24" s="414"/>
      <c r="O24" s="801">
        <f>+K24-M24</f>
        <v>-70566.3</v>
      </c>
      <c r="P24" s="389"/>
      <c r="Q24" s="389"/>
    </row>
    <row r="25" spans="1:17">
      <c r="A25" s="795"/>
      <c r="B25" s="795"/>
      <c r="C25" s="798"/>
      <c r="D25" s="414"/>
      <c r="E25" s="798"/>
      <c r="F25" s="414"/>
      <c r="G25" s="798"/>
      <c r="H25" s="797"/>
      <c r="I25" s="589"/>
      <c r="J25" s="1234"/>
      <c r="K25" s="798"/>
      <c r="L25" s="414"/>
      <c r="M25" s="798"/>
      <c r="N25" s="414"/>
      <c r="O25" s="798"/>
      <c r="P25" s="389"/>
      <c r="Q25" s="389"/>
    </row>
    <row r="26" spans="1:17">
      <c r="A26" s="795"/>
      <c r="B26" s="795"/>
      <c r="C26" s="204">
        <f>SUM(C27:C28)</f>
        <v>0</v>
      </c>
      <c r="D26" s="161"/>
      <c r="E26" s="204">
        <f>SUM(E27:E28)</f>
        <v>24954.050000000003</v>
      </c>
      <c r="F26" s="161"/>
      <c r="G26" s="204">
        <f>SUM(G27:G28)</f>
        <v>-24954.050000000003</v>
      </c>
      <c r="H26" s="797"/>
      <c r="I26" s="361" t="s">
        <v>806</v>
      </c>
      <c r="J26" s="160"/>
      <c r="K26" s="204">
        <f>SUM(K27:K28)</f>
        <v>0</v>
      </c>
      <c r="L26" s="161"/>
      <c r="M26" s="204">
        <f>SUM(M27:M28)</f>
        <v>0</v>
      </c>
      <c r="N26" s="161"/>
      <c r="O26" s="204">
        <f>SUM(O27:O28)</f>
        <v>0</v>
      </c>
      <c r="P26" s="389"/>
      <c r="Q26" s="389"/>
    </row>
    <row r="27" spans="1:17">
      <c r="A27" s="795"/>
      <c r="B27" s="795"/>
      <c r="C27" s="799">
        <v>0</v>
      </c>
      <c r="D27" s="414"/>
      <c r="E27" s="799">
        <v>0</v>
      </c>
      <c r="F27" s="414"/>
      <c r="G27" s="799">
        <f>+C27-E27</f>
        <v>0</v>
      </c>
      <c r="H27" s="797"/>
      <c r="I27" s="589" t="s">
        <v>523</v>
      </c>
      <c r="J27" s="1234"/>
      <c r="K27" s="799">
        <v>0</v>
      </c>
      <c r="L27" s="414"/>
      <c r="M27" s="799">
        <v>0</v>
      </c>
      <c r="N27" s="414"/>
      <c r="O27" s="799">
        <f>+K27-M27</f>
        <v>0</v>
      </c>
      <c r="P27" s="389"/>
      <c r="Q27" s="389"/>
    </row>
    <row r="28" spans="1:17">
      <c r="A28" s="795"/>
      <c r="B28" s="795"/>
      <c r="C28" s="801">
        <v>0</v>
      </c>
      <c r="D28" s="414"/>
      <c r="E28" s="801">
        <f>'TRAIL BALANCE'!E276</f>
        <v>24954.050000000003</v>
      </c>
      <c r="F28" s="414"/>
      <c r="G28" s="801">
        <f>+C28-E28</f>
        <v>-24954.050000000003</v>
      </c>
      <c r="H28" s="797"/>
      <c r="I28" s="589" t="s">
        <v>807</v>
      </c>
      <c r="J28" s="1234"/>
      <c r="K28" s="801">
        <v>0</v>
      </c>
      <c r="L28" s="414"/>
      <c r="M28" s="801">
        <f>'TRAIL BALANCE'!F276</f>
        <v>0</v>
      </c>
      <c r="N28" s="414"/>
      <c r="O28" s="801">
        <f>+K28-M28</f>
        <v>0</v>
      </c>
      <c r="P28" s="389"/>
      <c r="Q28" s="389"/>
    </row>
    <row r="29" spans="1:17">
      <c r="A29" s="795"/>
      <c r="B29" s="795"/>
      <c r="C29" s="414"/>
      <c r="D29" s="414"/>
      <c r="E29" s="798"/>
      <c r="F29" s="414"/>
      <c r="G29" s="414"/>
      <c r="H29" s="797"/>
      <c r="I29" s="589"/>
      <c r="J29" s="1234"/>
      <c r="K29" s="414"/>
      <c r="L29" s="414"/>
      <c r="M29" s="798"/>
      <c r="N29" s="414"/>
      <c r="O29" s="414"/>
      <c r="P29" s="389"/>
      <c r="Q29" s="389"/>
    </row>
    <row r="30" spans="1:17" ht="25.5">
      <c r="A30" s="795"/>
      <c r="B30" s="795"/>
      <c r="C30" s="204">
        <f>SUM(C31:C34)</f>
        <v>112244.03</v>
      </c>
      <c r="D30" s="161"/>
      <c r="E30" s="204">
        <f>SUM(E31:E34)</f>
        <v>692421.84999999986</v>
      </c>
      <c r="F30" s="161"/>
      <c r="G30" s="204">
        <f>SUM(G31:G34)</f>
        <v>-580177.81999999983</v>
      </c>
      <c r="H30" s="797"/>
      <c r="I30" s="361" t="s">
        <v>808</v>
      </c>
      <c r="J30" s="160"/>
      <c r="K30" s="204">
        <f>SUM(K31:K34)</f>
        <v>94239.28</v>
      </c>
      <c r="L30" s="161"/>
      <c r="M30" s="204">
        <f>SUM(M31:M34)</f>
        <v>737266.39</v>
      </c>
      <c r="N30" s="161"/>
      <c r="O30" s="204">
        <f>SUM(O31:O34)</f>
        <v>-643027.1100000001</v>
      </c>
      <c r="P30" s="389"/>
      <c r="Q30" s="389"/>
    </row>
    <row r="31" spans="1:17">
      <c r="A31" s="795"/>
      <c r="B31" s="795"/>
      <c r="C31" s="799">
        <f>-'TRAIL BALANCE'!E149</f>
        <v>7621.47</v>
      </c>
      <c r="D31" s="414"/>
      <c r="E31" s="799">
        <f>'TRAIL BALANCE'!E166</f>
        <v>184259.88</v>
      </c>
      <c r="F31" s="414"/>
      <c r="G31" s="799">
        <f>+C31-E31</f>
        <v>-176638.41</v>
      </c>
      <c r="H31" s="797"/>
      <c r="I31" s="589" t="s">
        <v>522</v>
      </c>
      <c r="J31" s="1234"/>
      <c r="K31" s="799">
        <f>-'TRAIL BALANCE'!F149</f>
        <v>9321.86</v>
      </c>
      <c r="L31" s="414"/>
      <c r="M31" s="799">
        <f>'TRAIL BALANCE'!F166</f>
        <v>198354.88</v>
      </c>
      <c r="N31" s="414"/>
      <c r="O31" s="799">
        <f>+K31-M31</f>
        <v>-189033.02000000002</v>
      </c>
      <c r="P31" s="389"/>
      <c r="Q31" s="389"/>
    </row>
    <row r="32" spans="1:17" ht="25.5">
      <c r="A32" s="795"/>
      <c r="B32" s="795"/>
      <c r="C32" s="800">
        <v>0</v>
      </c>
      <c r="D32" s="414"/>
      <c r="E32" s="800">
        <f>'TRAIL BALANCE'!E182+'TRAIL BALANCE'!E512</f>
        <v>309370.23999999993</v>
      </c>
      <c r="F32" s="414"/>
      <c r="G32" s="800">
        <f>+C32-E32</f>
        <v>-309370.23999999993</v>
      </c>
      <c r="H32" s="797"/>
      <c r="I32" s="589" t="s">
        <v>1505</v>
      </c>
      <c r="J32" s="1234"/>
      <c r="K32" s="800">
        <v>0</v>
      </c>
      <c r="L32" s="414"/>
      <c r="M32" s="800">
        <f>'TRAIL BALANCE'!F182+'TRAIL BALANCE'!F512</f>
        <v>332271.94000000006</v>
      </c>
      <c r="N32" s="414"/>
      <c r="O32" s="800">
        <f>+K32-M32</f>
        <v>-332271.94000000006</v>
      </c>
      <c r="P32" s="389"/>
      <c r="Q32" s="389"/>
    </row>
    <row r="33" spans="1:17" ht="25.5">
      <c r="A33" s="795"/>
      <c r="B33" s="795"/>
      <c r="C33" s="800">
        <v>0</v>
      </c>
      <c r="D33" s="414"/>
      <c r="E33" s="800">
        <f>'TRAIL BALANCE'!E517</f>
        <v>5202.58</v>
      </c>
      <c r="F33" s="414"/>
      <c r="G33" s="800">
        <f>+C33-E33</f>
        <v>-5202.58</v>
      </c>
      <c r="H33" s="797"/>
      <c r="I33" s="589" t="s">
        <v>1503</v>
      </c>
      <c r="J33" s="1234"/>
      <c r="K33" s="800">
        <v>0</v>
      </c>
      <c r="L33" s="414"/>
      <c r="M33" s="800">
        <f>'TRAIL BALANCE'!F517</f>
        <v>0</v>
      </c>
      <c r="N33" s="414"/>
      <c r="O33" s="800">
        <f>+K33-M33</f>
        <v>0</v>
      </c>
      <c r="P33" s="389"/>
      <c r="Q33" s="389"/>
    </row>
    <row r="34" spans="1:17">
      <c r="A34" s="795"/>
      <c r="B34" s="795"/>
      <c r="C34" s="801">
        <f>-'TRAIL BALANCE'!E302</f>
        <v>104622.56</v>
      </c>
      <c r="D34" s="414"/>
      <c r="E34" s="801">
        <f>'TRAIL BALANCE'!E312</f>
        <v>193589.14999999997</v>
      </c>
      <c r="F34" s="414"/>
      <c r="G34" s="801">
        <f>+C34-E34</f>
        <v>-88966.589999999967</v>
      </c>
      <c r="H34" s="797"/>
      <c r="I34" s="589" t="s">
        <v>809</v>
      </c>
      <c r="J34" s="1234"/>
      <c r="K34" s="801">
        <f>-'TRAIL BALANCE'!F302</f>
        <v>84917.42</v>
      </c>
      <c r="L34" s="414"/>
      <c r="M34" s="801">
        <f>'TRAIL BALANCE'!F312</f>
        <v>206639.56999999998</v>
      </c>
      <c r="N34" s="414"/>
      <c r="O34" s="801">
        <f>+K34-M34</f>
        <v>-121722.14999999998</v>
      </c>
      <c r="P34" s="389"/>
      <c r="Q34" s="389"/>
    </row>
    <row r="35" spans="1:17">
      <c r="A35" s="795"/>
      <c r="B35" s="795"/>
      <c r="C35" s="414"/>
      <c r="D35" s="414"/>
      <c r="E35" s="798"/>
      <c r="F35" s="414"/>
      <c r="G35" s="414"/>
      <c r="H35" s="797"/>
      <c r="I35" s="589"/>
      <c r="J35" s="1234"/>
      <c r="K35" s="414"/>
      <c r="L35" s="414"/>
      <c r="M35" s="798"/>
      <c r="N35" s="414"/>
      <c r="O35" s="414"/>
      <c r="P35" s="389"/>
      <c r="Q35" s="389"/>
    </row>
    <row r="36" spans="1:17">
      <c r="A36" s="795"/>
      <c r="B36" s="795"/>
      <c r="C36" s="204">
        <f>C37</f>
        <v>0</v>
      </c>
      <c r="D36" s="161"/>
      <c r="E36" s="204">
        <f>E37</f>
        <v>704.11</v>
      </c>
      <c r="F36" s="161"/>
      <c r="G36" s="204">
        <f>G37</f>
        <v>-704.11</v>
      </c>
      <c r="H36" s="797"/>
      <c r="I36" s="361" t="s">
        <v>517</v>
      </c>
      <c r="J36" s="160"/>
      <c r="K36" s="204">
        <f>K37</f>
        <v>0</v>
      </c>
      <c r="L36" s="161"/>
      <c r="M36" s="204">
        <f>M37</f>
        <v>0</v>
      </c>
      <c r="N36" s="161"/>
      <c r="O36" s="204">
        <f>O37</f>
        <v>0</v>
      </c>
      <c r="P36" s="389"/>
      <c r="Q36" s="389"/>
    </row>
    <row r="37" spans="1:17">
      <c r="A37" s="795"/>
      <c r="B37" s="795"/>
      <c r="C37" s="796">
        <v>0</v>
      </c>
      <c r="D37" s="414"/>
      <c r="E37" s="796">
        <f>'TRAIL BALANCE'!E507</f>
        <v>704.11</v>
      </c>
      <c r="F37" s="414"/>
      <c r="G37" s="796">
        <f>+C37-E37</f>
        <v>-704.11</v>
      </c>
      <c r="H37" s="797"/>
      <c r="I37" s="589" t="s">
        <v>517</v>
      </c>
      <c r="J37" s="1234"/>
      <c r="K37" s="796">
        <v>0</v>
      </c>
      <c r="L37" s="414"/>
      <c r="M37" s="796">
        <f>'TRAIL BALANCE'!F507</f>
        <v>0</v>
      </c>
      <c r="N37" s="414"/>
      <c r="O37" s="796">
        <f>+K37-M37</f>
        <v>0</v>
      </c>
      <c r="P37" s="389"/>
      <c r="Q37" s="389"/>
    </row>
    <row r="38" spans="1:17">
      <c r="A38" s="795"/>
      <c r="B38" s="795"/>
      <c r="C38" s="414"/>
      <c r="D38" s="414"/>
      <c r="E38" s="798"/>
      <c r="F38" s="414"/>
      <c r="G38" s="414"/>
      <c r="H38" s="797"/>
      <c r="I38" s="589"/>
      <c r="J38" s="1234"/>
      <c r="K38" s="414"/>
      <c r="L38" s="414"/>
      <c r="M38" s="798"/>
      <c r="N38" s="414"/>
      <c r="O38" s="414"/>
      <c r="P38" s="389"/>
      <c r="Q38" s="389"/>
    </row>
    <row r="39" spans="1:17">
      <c r="A39" s="795"/>
      <c r="B39" s="795"/>
      <c r="C39" s="204">
        <f>SUM(C40:C41)</f>
        <v>0</v>
      </c>
      <c r="D39" s="161"/>
      <c r="E39" s="204">
        <f>SUM(E40:E41)</f>
        <v>0</v>
      </c>
      <c r="F39" s="161"/>
      <c r="G39" s="204">
        <f>SUM(G40:G41)</f>
        <v>0</v>
      </c>
      <c r="H39" s="797"/>
      <c r="I39" s="361" t="s">
        <v>810</v>
      </c>
      <c r="J39" s="160"/>
      <c r="K39" s="204">
        <f>SUM(K40:K41)</f>
        <v>0</v>
      </c>
      <c r="L39" s="161"/>
      <c r="M39" s="204">
        <f>SUM(M40:M41)</f>
        <v>0</v>
      </c>
      <c r="N39" s="161"/>
      <c r="O39" s="204">
        <f>SUM(O40:O41)</f>
        <v>0</v>
      </c>
      <c r="P39" s="389"/>
      <c r="Q39" s="389"/>
    </row>
    <row r="40" spans="1:17">
      <c r="A40" s="795"/>
      <c r="B40" s="795"/>
      <c r="C40" s="799">
        <v>0</v>
      </c>
      <c r="D40" s="414"/>
      <c r="E40" s="799">
        <v>0</v>
      </c>
      <c r="F40" s="414"/>
      <c r="G40" s="799">
        <f>+C40-E40</f>
        <v>0</v>
      </c>
      <c r="H40" s="797"/>
      <c r="I40" s="589" t="s">
        <v>811</v>
      </c>
      <c r="J40" s="1234"/>
      <c r="K40" s="799">
        <v>0</v>
      </c>
      <c r="L40" s="414"/>
      <c r="M40" s="799">
        <v>0</v>
      </c>
      <c r="N40" s="414"/>
      <c r="O40" s="799">
        <f>+K40-M40</f>
        <v>0</v>
      </c>
      <c r="P40" s="389"/>
      <c r="Q40" s="389"/>
    </row>
    <row r="41" spans="1:17">
      <c r="A41" s="795"/>
      <c r="B41" s="795"/>
      <c r="C41" s="801">
        <v>0</v>
      </c>
      <c r="D41" s="414"/>
      <c r="E41" s="801">
        <v>0</v>
      </c>
      <c r="F41" s="414"/>
      <c r="G41" s="801">
        <f>+C41-E41</f>
        <v>0</v>
      </c>
      <c r="H41" s="797"/>
      <c r="I41" s="589" t="s">
        <v>784</v>
      </c>
      <c r="J41" s="1234"/>
      <c r="K41" s="801">
        <v>0</v>
      </c>
      <c r="L41" s="414"/>
      <c r="M41" s="801">
        <v>0</v>
      </c>
      <c r="N41" s="414"/>
      <c r="O41" s="801">
        <f>+K41-M41</f>
        <v>0</v>
      </c>
      <c r="P41" s="389"/>
      <c r="Q41" s="389"/>
    </row>
    <row r="42" spans="1:17" ht="13.5" thickBot="1">
      <c r="A42" s="393"/>
      <c r="B42" s="393"/>
      <c r="C42" s="395"/>
      <c r="D42" s="395"/>
      <c r="E42" s="395"/>
      <c r="F42" s="395"/>
      <c r="G42" s="395"/>
      <c r="H42" s="802"/>
      <c r="I42" s="803"/>
      <c r="J42" s="394"/>
      <c r="K42" s="395"/>
      <c r="L42" s="395"/>
      <c r="M42" s="395"/>
      <c r="N42" s="395"/>
      <c r="O42" s="395"/>
      <c r="P42" s="398"/>
      <c r="Q42" s="389"/>
    </row>
    <row r="43" spans="1:17">
      <c r="A43" s="388"/>
      <c r="B43" s="369"/>
      <c r="C43" s="209"/>
      <c r="D43" s="209"/>
      <c r="E43" s="209"/>
      <c r="F43" s="209"/>
      <c r="G43" s="209"/>
      <c r="H43" s="369"/>
      <c r="I43" s="369"/>
      <c r="J43" s="369"/>
      <c r="K43" s="369"/>
      <c r="L43" s="369"/>
      <c r="M43" s="369"/>
      <c r="N43" s="369"/>
      <c r="O43" s="369"/>
      <c r="P43" s="369"/>
      <c r="Q43" s="389"/>
    </row>
    <row r="44" spans="1:17" s="369" customFormat="1">
      <c r="A44" s="388"/>
      <c r="C44" s="209"/>
      <c r="D44" s="209"/>
      <c r="E44" s="209"/>
      <c r="F44" s="209"/>
      <c r="G44" s="209"/>
      <c r="Q44" s="389"/>
    </row>
    <row r="45" spans="1:17" s="369" customFormat="1">
      <c r="A45" s="1718" t="s">
        <v>812</v>
      </c>
      <c r="B45" s="1686"/>
      <c r="C45" s="1686"/>
      <c r="D45" s="1686"/>
      <c r="E45" s="1686"/>
      <c r="F45" s="1686"/>
      <c r="G45" s="1686"/>
      <c r="H45" s="1686"/>
      <c r="I45" s="1686"/>
      <c r="J45" s="1686"/>
      <c r="K45" s="1686"/>
      <c r="L45" s="1686"/>
      <c r="M45" s="1686"/>
      <c r="N45" s="1686"/>
      <c r="O45" s="1686"/>
      <c r="P45" s="1686"/>
      <c r="Q45" s="389"/>
    </row>
    <row r="46" spans="1:17" s="369" customFormat="1">
      <c r="A46" s="1718" t="s">
        <v>813</v>
      </c>
      <c r="B46" s="1686"/>
      <c r="C46" s="1686"/>
      <c r="D46" s="1686"/>
      <c r="E46" s="1686"/>
      <c r="F46" s="1686"/>
      <c r="G46" s="1686"/>
      <c r="H46" s="1686"/>
      <c r="I46" s="1686"/>
      <c r="J46" s="1686"/>
      <c r="K46" s="1686"/>
      <c r="L46" s="1686"/>
      <c r="M46" s="1686"/>
      <c r="N46" s="1686"/>
      <c r="O46" s="1686"/>
      <c r="P46" s="1686"/>
      <c r="Q46" s="389"/>
    </row>
    <row r="47" spans="1:17" s="369" customFormat="1">
      <c r="A47" s="1718" t="s">
        <v>2078</v>
      </c>
      <c r="B47" s="1686"/>
      <c r="C47" s="1686"/>
      <c r="D47" s="1686"/>
      <c r="E47" s="1686"/>
      <c r="F47" s="1686"/>
      <c r="G47" s="1686"/>
      <c r="H47" s="1686"/>
      <c r="I47" s="1686"/>
      <c r="J47" s="1686"/>
      <c r="K47" s="1686"/>
      <c r="L47" s="1686"/>
      <c r="M47" s="1686"/>
      <c r="N47" s="1686"/>
      <c r="O47" s="1686"/>
      <c r="P47" s="1686"/>
      <c r="Q47" s="389"/>
    </row>
    <row r="48" spans="1:17" s="369" customFormat="1" ht="13.5" thickBot="1">
      <c r="A48" s="388"/>
      <c r="C48" s="1228"/>
      <c r="D48" s="1228"/>
      <c r="E48" s="1228"/>
      <c r="F48" s="1228"/>
      <c r="G48" s="1228"/>
      <c r="Q48" s="389"/>
    </row>
    <row r="49" spans="1:17" s="369" customFormat="1" ht="13.5" thickBot="1">
      <c r="A49" s="804"/>
      <c r="B49" s="415"/>
      <c r="C49" s="1230"/>
      <c r="D49" s="1230"/>
      <c r="E49" s="1230"/>
      <c r="F49" s="1230"/>
      <c r="G49" s="1230"/>
      <c r="H49" s="805"/>
      <c r="I49" s="806"/>
      <c r="J49" s="415"/>
      <c r="K49" s="415"/>
      <c r="L49" s="415"/>
      <c r="M49" s="415"/>
      <c r="N49" s="415"/>
      <c r="O49" s="415"/>
      <c r="P49" s="416"/>
      <c r="Q49" s="389"/>
    </row>
    <row r="50" spans="1:17" s="369" customFormat="1">
      <c r="A50" s="1776"/>
      <c r="B50" s="1237"/>
      <c r="C50" s="362" t="s">
        <v>1796</v>
      </c>
      <c r="D50" s="1768"/>
      <c r="E50" s="362" t="s">
        <v>1796</v>
      </c>
      <c r="F50" s="1768"/>
      <c r="G50" s="362" t="s">
        <v>1796</v>
      </c>
      <c r="H50" s="1770"/>
      <c r="I50" s="1774"/>
      <c r="J50" s="1772"/>
      <c r="K50" s="362" t="s">
        <v>2077</v>
      </c>
      <c r="L50" s="1768"/>
      <c r="M50" s="362" t="s">
        <v>2077</v>
      </c>
      <c r="N50" s="1768"/>
      <c r="O50" s="362" t="s">
        <v>2077</v>
      </c>
      <c r="P50" s="416"/>
      <c r="Q50" s="389"/>
    </row>
    <row r="51" spans="1:17">
      <c r="A51" s="1776"/>
      <c r="B51" s="1238"/>
      <c r="C51" s="1239" t="s">
        <v>708</v>
      </c>
      <c r="D51" s="1769"/>
      <c r="E51" s="1239" t="s">
        <v>708</v>
      </c>
      <c r="F51" s="1769"/>
      <c r="G51" s="1239" t="s">
        <v>708</v>
      </c>
      <c r="H51" s="1771"/>
      <c r="I51" s="1775"/>
      <c r="J51" s="1773"/>
      <c r="K51" s="1239" t="s">
        <v>708</v>
      </c>
      <c r="L51" s="1769"/>
      <c r="M51" s="1239" t="s">
        <v>708</v>
      </c>
      <c r="N51" s="1769"/>
      <c r="O51" s="1239" t="s">
        <v>708</v>
      </c>
      <c r="P51" s="389"/>
      <c r="Q51" s="389"/>
    </row>
    <row r="52" spans="1:17">
      <c r="A52" s="1776"/>
      <c r="B52" s="1238"/>
      <c r="C52" s="1239" t="s">
        <v>352</v>
      </c>
      <c r="D52" s="1769"/>
      <c r="E52" s="1239" t="s">
        <v>354</v>
      </c>
      <c r="F52" s="1769"/>
      <c r="G52" s="1239" t="s">
        <v>797</v>
      </c>
      <c r="H52" s="1771"/>
      <c r="I52" s="1775"/>
      <c r="J52" s="1773"/>
      <c r="K52" s="1239" t="s">
        <v>352</v>
      </c>
      <c r="L52" s="1769"/>
      <c r="M52" s="1239" t="s">
        <v>354</v>
      </c>
      <c r="N52" s="1769"/>
      <c r="O52" s="1239" t="s">
        <v>797</v>
      </c>
      <c r="P52" s="389"/>
      <c r="Q52" s="389"/>
    </row>
    <row r="53" spans="1:17">
      <c r="A53" s="1776"/>
      <c r="B53" s="1238"/>
      <c r="C53" s="1239"/>
      <c r="D53" s="1769"/>
      <c r="E53" s="1239"/>
      <c r="F53" s="1769"/>
      <c r="G53" s="1239" t="s">
        <v>798</v>
      </c>
      <c r="H53" s="1771"/>
      <c r="I53" s="1775"/>
      <c r="J53" s="1773"/>
      <c r="K53" s="1239"/>
      <c r="L53" s="1769"/>
      <c r="M53" s="1239"/>
      <c r="N53" s="1769"/>
      <c r="O53" s="1239" t="s">
        <v>798</v>
      </c>
      <c r="P53" s="389"/>
      <c r="Q53" s="389"/>
    </row>
    <row r="54" spans="1:17">
      <c r="A54" s="1776"/>
      <c r="B54" s="1238"/>
      <c r="C54" s="1239" t="s">
        <v>1314</v>
      </c>
      <c r="D54" s="1769"/>
      <c r="E54" s="1239" t="s">
        <v>1314</v>
      </c>
      <c r="F54" s="1769"/>
      <c r="G54" s="1239" t="s">
        <v>1314</v>
      </c>
      <c r="H54" s="1771"/>
      <c r="I54" s="1775"/>
      <c r="J54" s="1773"/>
      <c r="K54" s="1239" t="s">
        <v>1314</v>
      </c>
      <c r="L54" s="1769"/>
      <c r="M54" s="1239" t="s">
        <v>1314</v>
      </c>
      <c r="N54" s="1769"/>
      <c r="O54" s="1239" t="s">
        <v>1314</v>
      </c>
      <c r="P54" s="389"/>
      <c r="Q54" s="389"/>
    </row>
    <row r="55" spans="1:17" ht="25.5">
      <c r="A55" s="1238"/>
      <c r="B55" s="1238"/>
      <c r="C55" s="204">
        <f>C56</f>
        <v>0</v>
      </c>
      <c r="D55" s="209"/>
      <c r="E55" s="204">
        <f>E56</f>
        <v>2508040.2599999998</v>
      </c>
      <c r="F55" s="160"/>
      <c r="G55" s="204">
        <f>G56</f>
        <v>-2508040.2599999998</v>
      </c>
      <c r="H55" s="205"/>
      <c r="I55" s="361" t="s">
        <v>814</v>
      </c>
      <c r="J55" s="160"/>
      <c r="K55" s="204">
        <f>K56</f>
        <v>0</v>
      </c>
      <c r="L55" s="209"/>
      <c r="M55" s="204">
        <f>M56</f>
        <v>2566987.54</v>
      </c>
      <c r="N55" s="160"/>
      <c r="O55" s="204">
        <f>O56</f>
        <v>-2566987.54</v>
      </c>
      <c r="P55" s="389"/>
      <c r="Q55" s="389"/>
    </row>
    <row r="56" spans="1:17" ht="25.5">
      <c r="A56" s="795"/>
      <c r="B56" s="795"/>
      <c r="C56" s="796">
        <f>-'TRAIL BALANCE'!E279</f>
        <v>0</v>
      </c>
      <c r="D56" s="1234"/>
      <c r="E56" s="796">
        <f>'TRAIL BALANCE'!E298</f>
        <v>2508040.2599999998</v>
      </c>
      <c r="F56" s="1234"/>
      <c r="G56" s="796">
        <f>+C56-E56</f>
        <v>-2508040.2599999998</v>
      </c>
      <c r="H56" s="797"/>
      <c r="I56" s="589" t="s">
        <v>814</v>
      </c>
      <c r="J56" s="1234"/>
      <c r="K56" s="796">
        <f>-'TRAIL BALANCE'!F279</f>
        <v>0</v>
      </c>
      <c r="L56" s="1234"/>
      <c r="M56" s="796">
        <f>'TRAIL BALANCE'!F298</f>
        <v>2566987.54</v>
      </c>
      <c r="N56" s="1234"/>
      <c r="O56" s="796">
        <f>+K56-M56</f>
        <v>-2566987.54</v>
      </c>
      <c r="P56" s="389"/>
      <c r="Q56" s="389"/>
    </row>
    <row r="57" spans="1:17">
      <c r="A57" s="795"/>
      <c r="B57" s="795"/>
      <c r="C57" s="798"/>
      <c r="D57" s="209"/>
      <c r="E57" s="798"/>
      <c r="F57" s="1234"/>
      <c r="G57" s="798"/>
      <c r="H57" s="797"/>
      <c r="I57" s="589"/>
      <c r="J57" s="1234"/>
      <c r="K57" s="798"/>
      <c r="L57" s="209"/>
      <c r="M57" s="798"/>
      <c r="N57" s="1234"/>
      <c r="O57" s="798"/>
      <c r="P57" s="389"/>
      <c r="Q57" s="389"/>
    </row>
    <row r="58" spans="1:17" ht="25.5">
      <c r="A58" s="795"/>
      <c r="B58" s="795"/>
      <c r="C58" s="204">
        <f>SUM(C59:C61)</f>
        <v>5016917.6399999997</v>
      </c>
      <c r="D58" s="209"/>
      <c r="E58" s="204">
        <f>SUM(E59:E61)</f>
        <v>5587239.5900000008</v>
      </c>
      <c r="F58" s="160"/>
      <c r="G58" s="204">
        <f>SUM(G59:G61)</f>
        <v>-570321.95000000112</v>
      </c>
      <c r="H58" s="797"/>
      <c r="I58" s="361" t="s">
        <v>815</v>
      </c>
      <c r="J58" s="1234"/>
      <c r="K58" s="204">
        <f>SUM(K59:K61)</f>
        <v>6029938.0300000003</v>
      </c>
      <c r="L58" s="209"/>
      <c r="M58" s="204">
        <f>SUM(M59:M61)</f>
        <v>5120397.1400000006</v>
      </c>
      <c r="N58" s="160"/>
      <c r="O58" s="204">
        <f>SUM(O59:O61)</f>
        <v>909540.88999999966</v>
      </c>
      <c r="P58" s="389"/>
      <c r="Q58" s="389"/>
    </row>
    <row r="59" spans="1:17">
      <c r="A59" s="795"/>
      <c r="B59" s="795"/>
      <c r="C59" s="799">
        <v>0</v>
      </c>
      <c r="D59" s="1234"/>
      <c r="E59" s="799">
        <v>0</v>
      </c>
      <c r="F59" s="1234"/>
      <c r="G59" s="799">
        <f>+C59-E59</f>
        <v>0</v>
      </c>
      <c r="H59" s="797"/>
      <c r="I59" s="589" t="s">
        <v>713</v>
      </c>
      <c r="J59" s="1234"/>
      <c r="K59" s="799">
        <v>0</v>
      </c>
      <c r="L59" s="1234"/>
      <c r="M59" s="799">
        <v>0</v>
      </c>
      <c r="N59" s="1234"/>
      <c r="O59" s="799">
        <f>+K59-M59</f>
        <v>0</v>
      </c>
      <c r="P59" s="389"/>
      <c r="Q59" s="389"/>
    </row>
    <row r="60" spans="1:17">
      <c r="A60" s="795"/>
      <c r="B60" s="795"/>
      <c r="C60" s="800">
        <v>0</v>
      </c>
      <c r="D60" s="1234"/>
      <c r="E60" s="800">
        <v>0</v>
      </c>
      <c r="F60" s="1234"/>
      <c r="G60" s="800">
        <f>+C60-E60</f>
        <v>0</v>
      </c>
      <c r="H60" s="797"/>
      <c r="I60" s="589" t="s">
        <v>816</v>
      </c>
      <c r="J60" s="1234"/>
      <c r="K60" s="800">
        <v>0</v>
      </c>
      <c r="L60" s="1234"/>
      <c r="M60" s="800">
        <v>0</v>
      </c>
      <c r="N60" s="1234"/>
      <c r="O60" s="800">
        <f>+K60-M60</f>
        <v>0</v>
      </c>
      <c r="P60" s="389"/>
      <c r="Q60" s="389"/>
    </row>
    <row r="61" spans="1:17" ht="25.5">
      <c r="A61" s="795"/>
      <c r="B61" s="795"/>
      <c r="C61" s="801">
        <f>-'TRAIL BALANCE'!E315</f>
        <v>5016917.6399999997</v>
      </c>
      <c r="D61" s="1234"/>
      <c r="E61" s="801">
        <f>'TRAIL BALANCE'!E339</f>
        <v>5587239.5900000008</v>
      </c>
      <c r="F61" s="1234"/>
      <c r="G61" s="801">
        <f>+C61-E61</f>
        <v>-570321.95000000112</v>
      </c>
      <c r="H61" s="797"/>
      <c r="I61" s="589" t="s">
        <v>1506</v>
      </c>
      <c r="J61" s="1234"/>
      <c r="K61" s="801">
        <f>-'TRAIL BALANCE'!F315</f>
        <v>6029938.0300000003</v>
      </c>
      <c r="L61" s="1234"/>
      <c r="M61" s="801">
        <f>'TRAIL BALANCE'!F339</f>
        <v>5120397.1400000006</v>
      </c>
      <c r="N61" s="1234"/>
      <c r="O61" s="801">
        <f>+K61-M61</f>
        <v>909540.88999999966</v>
      </c>
      <c r="P61" s="389"/>
      <c r="Q61" s="389"/>
    </row>
    <row r="62" spans="1:17">
      <c r="A62" s="795"/>
      <c r="B62" s="795"/>
      <c r="C62" s="414"/>
      <c r="D62" s="209"/>
      <c r="E62" s="798"/>
      <c r="F62" s="1234"/>
      <c r="G62" s="414"/>
      <c r="H62" s="797"/>
      <c r="I62" s="589"/>
      <c r="J62" s="1234"/>
      <c r="K62" s="414"/>
      <c r="L62" s="209"/>
      <c r="M62" s="798"/>
      <c r="N62" s="1234"/>
      <c r="O62" s="414"/>
      <c r="P62" s="389"/>
      <c r="Q62" s="389"/>
    </row>
    <row r="63" spans="1:17">
      <c r="A63" s="795"/>
      <c r="B63" s="795"/>
      <c r="C63" s="204">
        <f>SUM(C64:C66)</f>
        <v>11845539.17</v>
      </c>
      <c r="D63" s="209"/>
      <c r="E63" s="204">
        <f>SUM(E64:E66)</f>
        <v>8852799.2799999993</v>
      </c>
      <c r="F63" s="160"/>
      <c r="G63" s="204">
        <f>SUM(G64:G66)</f>
        <v>2992739.8900000006</v>
      </c>
      <c r="H63" s="797"/>
      <c r="I63" s="361" t="s">
        <v>817</v>
      </c>
      <c r="J63" s="1234"/>
      <c r="K63" s="204">
        <f>SUM(K64:K66)</f>
        <v>21285988.830000002</v>
      </c>
      <c r="L63" s="209"/>
      <c r="M63" s="204">
        <f>SUM(M64:M66)</f>
        <v>12454641.58</v>
      </c>
      <c r="N63" s="160"/>
      <c r="O63" s="204">
        <f>SUM(O64:O66)</f>
        <v>8831347.25</v>
      </c>
      <c r="P63" s="389"/>
      <c r="Q63" s="389"/>
    </row>
    <row r="64" spans="1:17">
      <c r="A64" s="795"/>
      <c r="B64" s="795"/>
      <c r="C64" s="799">
        <f>-'TRAIL BALANCE'!E380</f>
        <v>9042647.0800000001</v>
      </c>
      <c r="D64" s="1234"/>
      <c r="E64" s="799">
        <f>'TRAIL BALANCE'!E413</f>
        <v>4362370.3900000006</v>
      </c>
      <c r="F64" s="1234"/>
      <c r="G64" s="799">
        <f>+C64-E64</f>
        <v>4680276.6899999995</v>
      </c>
      <c r="H64" s="797"/>
      <c r="I64" s="589" t="s">
        <v>1504</v>
      </c>
      <c r="J64" s="1234"/>
      <c r="K64" s="799">
        <f>-'TRAIL BALANCE'!F380</f>
        <v>17621673.030000001</v>
      </c>
      <c r="L64" s="1234"/>
      <c r="M64" s="799">
        <f>'TRAIL BALANCE'!F413</f>
        <v>5481801.2800000003</v>
      </c>
      <c r="N64" s="1234"/>
      <c r="O64" s="799">
        <f>+K64-M64</f>
        <v>12139871.75</v>
      </c>
      <c r="P64" s="389"/>
      <c r="Q64" s="389"/>
    </row>
    <row r="65" spans="1:17" ht="25.5">
      <c r="A65" s="795"/>
      <c r="B65" s="795"/>
      <c r="C65" s="800">
        <f>-'TRAIL BALANCE'!E522</f>
        <v>2802892.09</v>
      </c>
      <c r="D65" s="1234"/>
      <c r="E65" s="800">
        <f>'TRAIL BALANCE'!E555</f>
        <v>4490428.8899999987</v>
      </c>
      <c r="F65" s="1234"/>
      <c r="G65" s="800">
        <f>+C65-E65</f>
        <v>-1687536.7999999989</v>
      </c>
      <c r="H65" s="797"/>
      <c r="I65" s="589" t="s">
        <v>1280</v>
      </c>
      <c r="J65" s="1234"/>
      <c r="K65" s="800">
        <f>-'TRAIL BALANCE'!F522</f>
        <v>3664315.8</v>
      </c>
      <c r="L65" s="1234"/>
      <c r="M65" s="800">
        <f>'TRAIL BALANCE'!F555</f>
        <v>6972840.2999999998</v>
      </c>
      <c r="N65" s="1234"/>
      <c r="O65" s="800">
        <f>+K65-M65</f>
        <v>-3308524.5</v>
      </c>
      <c r="P65" s="389"/>
      <c r="Q65" s="389"/>
    </row>
    <row r="66" spans="1:17">
      <c r="A66" s="795"/>
      <c r="B66" s="795"/>
      <c r="C66" s="801">
        <v>0</v>
      </c>
      <c r="D66" s="1234"/>
      <c r="E66" s="801">
        <v>0</v>
      </c>
      <c r="F66" s="1234"/>
      <c r="G66" s="801">
        <f>+C66-E66</f>
        <v>0</v>
      </c>
      <c r="H66" s="797"/>
      <c r="I66" s="589" t="s">
        <v>1281</v>
      </c>
      <c r="J66" s="1234"/>
      <c r="K66" s="801">
        <v>0</v>
      </c>
      <c r="L66" s="1234"/>
      <c r="M66" s="801">
        <v>0</v>
      </c>
      <c r="N66" s="1234"/>
      <c r="O66" s="801">
        <f>+K66-M66</f>
        <v>0</v>
      </c>
      <c r="P66" s="389"/>
      <c r="Q66" s="389"/>
    </row>
    <row r="67" spans="1:17">
      <c r="A67" s="795"/>
      <c r="B67" s="795"/>
      <c r="C67" s="798"/>
      <c r="D67" s="209"/>
      <c r="E67" s="798"/>
      <c r="F67" s="1234"/>
      <c r="G67" s="798"/>
      <c r="H67" s="797"/>
      <c r="I67" s="589"/>
      <c r="J67" s="1234"/>
      <c r="K67" s="798"/>
      <c r="L67" s="209"/>
      <c r="M67" s="798"/>
      <c r="N67" s="1234"/>
      <c r="O67" s="798"/>
      <c r="P67" s="389"/>
      <c r="Q67" s="389"/>
    </row>
    <row r="68" spans="1:17">
      <c r="A68" s="795"/>
      <c r="B68" s="795"/>
      <c r="C68" s="204">
        <f>SUM(C69:C70)</f>
        <v>0</v>
      </c>
      <c r="D68" s="209"/>
      <c r="E68" s="204">
        <f>SUM(E69:E70)</f>
        <v>0</v>
      </c>
      <c r="F68" s="160"/>
      <c r="G68" s="204">
        <f>SUM(G69:G70)</f>
        <v>0</v>
      </c>
      <c r="H68" s="797"/>
      <c r="I68" s="361" t="s">
        <v>714</v>
      </c>
      <c r="J68" s="1234"/>
      <c r="K68" s="204">
        <f>SUM(K69:K70)</f>
        <v>0</v>
      </c>
      <c r="L68" s="209"/>
      <c r="M68" s="204">
        <f>SUM(M69:M70)</f>
        <v>0</v>
      </c>
      <c r="N68" s="160"/>
      <c r="O68" s="204">
        <f>SUM(O69:O70)</f>
        <v>0</v>
      </c>
      <c r="P68" s="389"/>
      <c r="Q68" s="389"/>
    </row>
    <row r="69" spans="1:17">
      <c r="A69" s="795"/>
      <c r="B69" s="795"/>
      <c r="C69" s="799">
        <v>0</v>
      </c>
      <c r="D69" s="1234"/>
      <c r="E69" s="799">
        <v>0</v>
      </c>
      <c r="F69" s="1234"/>
      <c r="G69" s="799">
        <f>+C69-E69</f>
        <v>0</v>
      </c>
      <c r="H69" s="797"/>
      <c r="I69" s="589" t="s">
        <v>1282</v>
      </c>
      <c r="J69" s="1234"/>
      <c r="K69" s="799">
        <v>0</v>
      </c>
      <c r="L69" s="1234"/>
      <c r="M69" s="799">
        <v>0</v>
      </c>
      <c r="N69" s="1234"/>
      <c r="O69" s="799">
        <f>+K69-M69</f>
        <v>0</v>
      </c>
      <c r="P69" s="389"/>
      <c r="Q69" s="389"/>
    </row>
    <row r="70" spans="1:17">
      <c r="A70" s="795"/>
      <c r="B70" s="795"/>
      <c r="C70" s="801">
        <v>0</v>
      </c>
      <c r="D70" s="1234"/>
      <c r="E70" s="801">
        <v>0</v>
      </c>
      <c r="F70" s="1234"/>
      <c r="G70" s="801">
        <f>+C70-E70</f>
        <v>0</v>
      </c>
      <c r="H70" s="797"/>
      <c r="I70" s="589" t="s">
        <v>1283</v>
      </c>
      <c r="J70" s="1234"/>
      <c r="K70" s="801">
        <v>0</v>
      </c>
      <c r="L70" s="1234"/>
      <c r="M70" s="801">
        <v>0</v>
      </c>
      <c r="N70" s="1234"/>
      <c r="O70" s="801">
        <f>+K70-M70</f>
        <v>0</v>
      </c>
      <c r="P70" s="389"/>
      <c r="Q70" s="389"/>
    </row>
    <row r="71" spans="1:17">
      <c r="A71" s="795"/>
      <c r="B71" s="795"/>
      <c r="C71" s="414"/>
      <c r="D71" s="209"/>
      <c r="E71" s="798"/>
      <c r="F71" s="1234"/>
      <c r="G71" s="414"/>
      <c r="H71" s="797"/>
      <c r="I71" s="589"/>
      <c r="J71" s="1234"/>
      <c r="K71" s="414"/>
      <c r="L71" s="209"/>
      <c r="M71" s="798"/>
      <c r="N71" s="1234"/>
      <c r="O71" s="414"/>
      <c r="P71" s="389"/>
      <c r="Q71" s="389"/>
    </row>
    <row r="72" spans="1:17">
      <c r="A72" s="795"/>
      <c r="B72" s="795"/>
      <c r="C72" s="204">
        <f>SUM(C73:C74)</f>
        <v>41749584.009999998</v>
      </c>
      <c r="D72" s="209"/>
      <c r="E72" s="204">
        <f>SUM(E73:E74)</f>
        <v>34865473.050000004</v>
      </c>
      <c r="F72" s="160"/>
      <c r="G72" s="204">
        <f>SUM(G73:G74)</f>
        <v>6884110.9599999934</v>
      </c>
      <c r="H72" s="797"/>
      <c r="I72" s="361" t="s">
        <v>711</v>
      </c>
      <c r="J72" s="1234"/>
      <c r="K72" s="204">
        <f>SUM(K73:K74)</f>
        <v>54772869.990000002</v>
      </c>
      <c r="L72" s="209"/>
      <c r="M72" s="204">
        <f>SUM(M73:M74)</f>
        <v>36843371.479999997</v>
      </c>
      <c r="N72" s="160"/>
      <c r="O72" s="204">
        <f>SUM(O73:O74)</f>
        <v>17929498.510000005</v>
      </c>
      <c r="P72" s="389"/>
      <c r="Q72" s="389"/>
    </row>
    <row r="73" spans="1:17" ht="25.5">
      <c r="A73" s="795"/>
      <c r="B73" s="795"/>
      <c r="C73" s="799">
        <f>-'TRAIL BALANCE'!E440</f>
        <v>41749584.009999998</v>
      </c>
      <c r="D73" s="1234"/>
      <c r="E73" s="799">
        <f>'TRAIL BALANCE'!E468</f>
        <v>34865473.050000004</v>
      </c>
      <c r="F73" s="1234"/>
      <c r="G73" s="799">
        <f>+C73-E73</f>
        <v>6884110.9599999934</v>
      </c>
      <c r="H73" s="797"/>
      <c r="I73" s="589" t="s">
        <v>1284</v>
      </c>
      <c r="J73" s="1234"/>
      <c r="K73" s="799">
        <f>-'TRAIL BALANCE'!F440</f>
        <v>54772869.990000002</v>
      </c>
      <c r="L73" s="1234"/>
      <c r="M73" s="799">
        <f>'TRAIL BALANCE'!F468+'TRAIL BALANCE'!F477</f>
        <v>36843371.479999997</v>
      </c>
      <c r="N73" s="1234"/>
      <c r="O73" s="799">
        <f>+K73-M73</f>
        <v>17929498.510000005</v>
      </c>
      <c r="P73" s="389"/>
      <c r="Q73" s="389"/>
    </row>
    <row r="74" spans="1:17">
      <c r="A74" s="795"/>
      <c r="B74" s="795"/>
      <c r="C74" s="801">
        <v>0</v>
      </c>
      <c r="D74" s="1234"/>
      <c r="E74" s="801">
        <v>0</v>
      </c>
      <c r="F74" s="1234"/>
      <c r="G74" s="801">
        <f>+C74-E74</f>
        <v>0</v>
      </c>
      <c r="H74" s="797"/>
      <c r="I74" s="589" t="s">
        <v>1285</v>
      </c>
      <c r="J74" s="1234"/>
      <c r="K74" s="801">
        <v>0</v>
      </c>
      <c r="L74" s="1234"/>
      <c r="M74" s="801">
        <v>0</v>
      </c>
      <c r="N74" s="1234"/>
      <c r="O74" s="801">
        <f>+K74-M74</f>
        <v>0</v>
      </c>
      <c r="P74" s="389"/>
      <c r="Q74" s="389"/>
    </row>
    <row r="75" spans="1:17">
      <c r="A75" s="795"/>
      <c r="B75" s="795"/>
      <c r="C75" s="414"/>
      <c r="D75" s="209"/>
      <c r="E75" s="798"/>
      <c r="F75" s="1234"/>
      <c r="G75" s="414"/>
      <c r="H75" s="797"/>
      <c r="I75" s="589"/>
      <c r="J75" s="1234"/>
      <c r="K75" s="414"/>
      <c r="L75" s="209"/>
      <c r="M75" s="798"/>
      <c r="N75" s="1234"/>
      <c r="O75" s="414"/>
      <c r="P75" s="389"/>
      <c r="Q75" s="389"/>
    </row>
    <row r="76" spans="1:17">
      <c r="A76" s="1238"/>
      <c r="B76" s="1238"/>
      <c r="C76" s="206">
        <f>C72+C68+C63+C58+C55+C39+C36+C30+C26+C20+C13+C10</f>
        <v>93310873.039999992</v>
      </c>
      <c r="D76" s="807"/>
      <c r="E76" s="206">
        <f>E72+E68+E63+E58+E55+E39+E36+E30+E26+E20+E13+E10</f>
        <v>108152233.24000001</v>
      </c>
      <c r="F76" s="207"/>
      <c r="G76" s="206">
        <f>G72+G68+G63+G58+G55+G39+G36+G30+G26+G20+G13+G10</f>
        <v>-14841360.20000001</v>
      </c>
      <c r="H76" s="205"/>
      <c r="I76" s="361" t="s">
        <v>359</v>
      </c>
      <c r="J76" s="160"/>
      <c r="K76" s="206">
        <f>K72+K68+K63+K58+K55+K39+K36+K30+K26+K20+K13+K10</f>
        <v>131167888.15000001</v>
      </c>
      <c r="L76" s="807"/>
      <c r="M76" s="206">
        <f>M72+M68+M63+M58+M55+M39+M36+M30+M26+M20+M13+M10</f>
        <v>115969562.48999999</v>
      </c>
      <c r="N76" s="207"/>
      <c r="O76" s="206">
        <f>O72+O68+O63+O58+O55+O39+O36+O30+O26+O20+O13+O10</f>
        <v>15198325.660000006</v>
      </c>
      <c r="P76" s="389"/>
      <c r="Q76" s="389"/>
    </row>
    <row r="77" spans="1:17" ht="38.25">
      <c r="A77" s="795"/>
      <c r="B77" s="795"/>
      <c r="C77" s="798"/>
      <c r="D77" s="209"/>
      <c r="E77" s="798"/>
      <c r="F77" s="1234"/>
      <c r="G77" s="204" t="s">
        <v>496</v>
      </c>
      <c r="H77" s="797"/>
      <c r="I77" s="589" t="s">
        <v>1286</v>
      </c>
      <c r="J77" s="1234"/>
      <c r="K77" s="798"/>
      <c r="L77" s="209"/>
      <c r="M77" s="798"/>
      <c r="N77" s="1234"/>
      <c r="O77" s="204" t="s">
        <v>496</v>
      </c>
      <c r="P77" s="389"/>
      <c r="Q77" s="389"/>
    </row>
    <row r="78" spans="1:17" ht="13.5" thickBot="1">
      <c r="A78" s="795"/>
      <c r="B78" s="795"/>
      <c r="C78" s="208">
        <f>SUM(C76:C77)</f>
        <v>93310873.039999992</v>
      </c>
      <c r="D78" s="618"/>
      <c r="E78" s="208">
        <f>SUM(E76:E77)</f>
        <v>108152233.24000001</v>
      </c>
      <c r="F78" s="591"/>
      <c r="G78" s="208">
        <f>SUM(G76:G77)</f>
        <v>-14841360.20000001</v>
      </c>
      <c r="H78" s="797"/>
      <c r="I78" s="361" t="s">
        <v>1108</v>
      </c>
      <c r="J78" s="1234"/>
      <c r="K78" s="208">
        <f>SUM(K76:K77)</f>
        <v>131167888.15000001</v>
      </c>
      <c r="L78" s="618"/>
      <c r="M78" s="208">
        <f>SUM(M76:M77)</f>
        <v>115969562.48999999</v>
      </c>
      <c r="N78" s="591"/>
      <c r="O78" s="208">
        <f>SUM(O76:O77)</f>
        <v>15198325.660000006</v>
      </c>
      <c r="P78" s="389"/>
      <c r="Q78" s="389"/>
    </row>
    <row r="79" spans="1:17" ht="14.25" thickTop="1" thickBot="1">
      <c r="A79" s="393"/>
      <c r="B79" s="393"/>
      <c r="C79" s="397"/>
      <c r="D79" s="397"/>
      <c r="E79" s="397"/>
      <c r="F79" s="397"/>
      <c r="G79" s="397"/>
      <c r="H79" s="802"/>
      <c r="I79" s="808"/>
      <c r="J79" s="397"/>
      <c r="K79" s="397"/>
      <c r="L79" s="397"/>
      <c r="M79" s="397"/>
      <c r="N79" s="397"/>
      <c r="O79" s="397"/>
      <c r="P79" s="398"/>
      <c r="Q79" s="389"/>
    </row>
    <row r="80" spans="1:17">
      <c r="A80" s="388"/>
      <c r="B80" s="369"/>
      <c r="C80" s="209"/>
      <c r="D80" s="209"/>
      <c r="E80" s="209"/>
      <c r="F80" s="209"/>
      <c r="G80" s="209"/>
      <c r="H80" s="369"/>
      <c r="I80" s="369"/>
      <c r="J80" s="369"/>
      <c r="K80" s="369"/>
      <c r="L80" s="369"/>
      <c r="M80" s="369"/>
      <c r="N80" s="369"/>
      <c r="O80" s="369"/>
      <c r="P80" s="369"/>
      <c r="Q80" s="389"/>
    </row>
    <row r="81" spans="1:17" ht="13.5" thickBot="1">
      <c r="A81" s="620"/>
      <c r="B81" s="397"/>
      <c r="C81" s="809"/>
      <c r="D81" s="809"/>
      <c r="E81" s="809"/>
      <c r="F81" s="809"/>
      <c r="G81" s="809"/>
      <c r="H81" s="397"/>
      <c r="I81" s="397"/>
      <c r="J81" s="397"/>
      <c r="K81" s="397"/>
      <c r="L81" s="397"/>
      <c r="M81" s="397"/>
      <c r="N81" s="397"/>
      <c r="O81" s="397"/>
      <c r="P81" s="397"/>
      <c r="Q81" s="398"/>
    </row>
  </sheetData>
  <mergeCells count="22">
    <mergeCell ref="A1:P1"/>
    <mergeCell ref="A2:P2"/>
    <mergeCell ref="A3:P3"/>
    <mergeCell ref="A5:A9"/>
    <mergeCell ref="I5:I9"/>
    <mergeCell ref="J5:J9"/>
    <mergeCell ref="L5:L9"/>
    <mergeCell ref="N5:N9"/>
    <mergeCell ref="D5:D9"/>
    <mergeCell ref="F5:F9"/>
    <mergeCell ref="F50:F54"/>
    <mergeCell ref="H50:H54"/>
    <mergeCell ref="D50:D54"/>
    <mergeCell ref="H5:H9"/>
    <mergeCell ref="A45:P45"/>
    <mergeCell ref="A46:P46"/>
    <mergeCell ref="A47:P47"/>
    <mergeCell ref="J50:J54"/>
    <mergeCell ref="L50:L54"/>
    <mergeCell ref="I50:I54"/>
    <mergeCell ref="N50:N54"/>
    <mergeCell ref="A50:A54"/>
  </mergeCells>
  <phoneticPr fontId="0" type="noConversion"/>
  <printOptions horizontalCentered="1"/>
  <pageMargins left="0.6692913385826772" right="0.39370078740157483" top="0.98425196850393704" bottom="0.98425196850393704" header="0.51181102362204722" footer="0.51181102362204722"/>
  <pageSetup scale="54" orientation="portrait" r:id="rId1"/>
  <headerFooter>
    <oddHeader>&amp;C FINANCIAL STATEMENTS: MUSINA LOCAL MUNICIPALITY</oddHeader>
    <oddFooter>&amp;RPage &amp;P</oddFooter>
  </headerFooter>
  <colBreaks count="1" manualBreakCount="1">
    <brk id="8" max="1048575" man="1"/>
  </colBreaks>
</worksheet>
</file>

<file path=xl/worksheets/sheet29.xml><?xml version="1.0" encoding="utf-8"?>
<worksheet xmlns="http://schemas.openxmlformats.org/spreadsheetml/2006/main" xmlns:r="http://schemas.openxmlformats.org/officeDocument/2006/relationships">
  <sheetPr>
    <tabColor rgb="FF66FF66"/>
    <pageSetUpPr fitToPage="1"/>
  </sheetPr>
  <dimension ref="A1:H57"/>
  <sheetViews>
    <sheetView view="pageBreakPreview" topLeftCell="A15" zoomScaleSheetLayoutView="100" workbookViewId="0">
      <selection activeCell="C43" activeCellId="1" sqref="E18 C43"/>
    </sheetView>
  </sheetViews>
  <sheetFormatPr defaultRowHeight="12.75"/>
  <cols>
    <col min="1" max="1" width="41.42578125" style="363" customWidth="1"/>
    <col min="2" max="2" width="15.5703125" style="510" bestFit="1" customWidth="1"/>
    <col min="3" max="3" width="14.85546875" style="510" bestFit="1" customWidth="1"/>
    <col min="4" max="4" width="15.140625" style="510" bestFit="1" customWidth="1"/>
    <col min="5" max="5" width="16.7109375" style="510" bestFit="1" customWidth="1"/>
    <col min="6" max="6" width="37.85546875" style="821" customWidth="1"/>
    <col min="7" max="7" width="16.85546875" style="363" customWidth="1"/>
    <col min="8" max="16384" width="9.140625" style="363"/>
  </cols>
  <sheetData>
    <row r="1" spans="1:7">
      <c r="A1" s="1782" t="s">
        <v>1343</v>
      </c>
      <c r="B1" s="1783"/>
      <c r="C1" s="1783"/>
      <c r="D1" s="1783"/>
      <c r="E1" s="1783"/>
      <c r="F1" s="1784"/>
    </row>
    <row r="2" spans="1:7">
      <c r="A2" s="1780" t="s">
        <v>2348</v>
      </c>
      <c r="B2" s="1728"/>
      <c r="C2" s="1728"/>
      <c r="D2" s="1728"/>
      <c r="E2" s="1728"/>
      <c r="F2" s="1781"/>
    </row>
    <row r="3" spans="1:7">
      <c r="A3" s="1780" t="s">
        <v>2078</v>
      </c>
      <c r="B3" s="1728"/>
      <c r="C3" s="1728"/>
      <c r="D3" s="1728"/>
      <c r="E3" s="1728"/>
      <c r="F3" s="1781"/>
    </row>
    <row r="4" spans="1:7">
      <c r="A4" s="1028"/>
      <c r="B4" s="325"/>
      <c r="C4" s="325"/>
      <c r="D4" s="325"/>
      <c r="E4" s="325"/>
      <c r="F4" s="810"/>
    </row>
    <row r="5" spans="1:7" s="511" customFormat="1" ht="25.5">
      <c r="A5" s="1785"/>
      <c r="B5" s="180" t="s">
        <v>2330</v>
      </c>
      <c r="C5" s="180" t="s">
        <v>2331</v>
      </c>
      <c r="D5" s="180" t="s">
        <v>2332</v>
      </c>
      <c r="E5" s="180" t="s">
        <v>2333</v>
      </c>
      <c r="F5" s="445" t="s">
        <v>1039</v>
      </c>
      <c r="G5" s="511" t="s">
        <v>1469</v>
      </c>
    </row>
    <row r="6" spans="1:7">
      <c r="A6" s="1786"/>
      <c r="B6" s="199" t="s">
        <v>1314</v>
      </c>
      <c r="C6" s="199" t="s">
        <v>1314</v>
      </c>
      <c r="D6" s="199" t="s">
        <v>1314</v>
      </c>
      <c r="E6" s="199" t="s">
        <v>1287</v>
      </c>
      <c r="F6" s="446"/>
    </row>
    <row r="7" spans="1:7">
      <c r="A7" s="436" t="s">
        <v>707</v>
      </c>
      <c r="B7" s="1369"/>
      <c r="C7" s="215"/>
      <c r="D7" s="215"/>
      <c r="E7" s="215"/>
      <c r="F7" s="811"/>
    </row>
    <row r="8" spans="1:7">
      <c r="A8" s="812" t="s">
        <v>709</v>
      </c>
      <c r="B8" s="215">
        <f>-'TRAIL BALANCE'!F2-'TRAIL BALANCE'!F3-'TRAIL BALANCE'!F4-'TRAIL BALANCE'!F5</f>
        <v>10452708.43</v>
      </c>
      <c r="C8" s="215">
        <f>-'Appendix E(1)a'!E8</f>
        <v>11276500</v>
      </c>
      <c r="D8" s="215">
        <f>B8-C8</f>
        <v>-823791.5700000003</v>
      </c>
      <c r="E8" s="813">
        <f t="shared" ref="E8:E26" si="0">D8/C8*100</f>
        <v>-7.3053834966523334</v>
      </c>
      <c r="F8" s="814" t="s">
        <v>1999</v>
      </c>
    </row>
    <row r="9" spans="1:7">
      <c r="A9" s="812" t="s">
        <v>35</v>
      </c>
      <c r="B9" s="215">
        <f>-'TRAIL BALANCE'!F429-'TRAIL BALANCE'!F430-'TRAIL BALANCE'!F431-'TRAIL BALANCE'!F432-'TRAIL BALANCE'!F433-'TRAIL BALANCE'!F434-'TRAIL BALANCE'!F435</f>
        <v>53828928.350000001</v>
      </c>
      <c r="C9" s="215">
        <f>-'Appendix E(1)a'!E9</f>
        <v>56758345</v>
      </c>
      <c r="D9" s="215">
        <f t="shared" ref="D9:D25" si="1">B9-C9</f>
        <v>-2929416.6499999985</v>
      </c>
      <c r="E9" s="813">
        <f t="shared" si="0"/>
        <v>-5.1612087174141497</v>
      </c>
      <c r="F9" s="811"/>
    </row>
    <row r="10" spans="1:7">
      <c r="A10" s="812" t="s">
        <v>1723</v>
      </c>
      <c r="B10" s="215">
        <f>-'TRAIL BALANCE'!F436</f>
        <v>943941.6399999999</v>
      </c>
      <c r="C10" s="215">
        <f>'Appendix E(1)a'!E10</f>
        <v>0</v>
      </c>
      <c r="D10" s="215">
        <f t="shared" si="1"/>
        <v>943941.6399999999</v>
      </c>
      <c r="E10" s="813">
        <v>0</v>
      </c>
      <c r="F10" s="811"/>
    </row>
    <row r="11" spans="1:7">
      <c r="A11" s="812" t="s">
        <v>1244</v>
      </c>
      <c r="B11" s="215">
        <f>-'TRAIL BALANCE'!F315</f>
        <v>6029938.0300000003</v>
      </c>
      <c r="C11" s="215">
        <f>-'Appendix E(1)a'!E11</f>
        <v>6629126</v>
      </c>
      <c r="D11" s="215">
        <f t="shared" si="1"/>
        <v>-599187.96999999974</v>
      </c>
      <c r="E11" s="813">
        <f t="shared" si="0"/>
        <v>-9.0387174719563301</v>
      </c>
      <c r="F11" s="811"/>
    </row>
    <row r="12" spans="1:7" hidden="1">
      <c r="A12" s="812" t="s">
        <v>713</v>
      </c>
      <c r="B12" s="215">
        <v>0</v>
      </c>
      <c r="C12" s="215">
        <f>'Appendix E(1)a'!E12</f>
        <v>0</v>
      </c>
      <c r="D12" s="215">
        <f t="shared" si="1"/>
        <v>0</v>
      </c>
      <c r="E12" s="813" t="e">
        <f t="shared" si="0"/>
        <v>#DIV/0!</v>
      </c>
      <c r="F12" s="811"/>
    </row>
    <row r="13" spans="1:7" hidden="1">
      <c r="A13" s="812" t="s">
        <v>714</v>
      </c>
      <c r="B13" s="215">
        <v>0</v>
      </c>
      <c r="C13" s="215">
        <f>'Appendix E(1)a'!E13</f>
        <v>0</v>
      </c>
      <c r="D13" s="215">
        <f t="shared" si="1"/>
        <v>0</v>
      </c>
      <c r="E13" s="813" t="e">
        <f t="shared" si="0"/>
        <v>#DIV/0!</v>
      </c>
      <c r="F13" s="811" t="s">
        <v>36</v>
      </c>
    </row>
    <row r="14" spans="1:7">
      <c r="A14" s="812" t="s">
        <v>715</v>
      </c>
      <c r="B14" s="215">
        <f>-'TRAIL BALANCE'!F278-'TRAIL BALANCE'!F374-'TRAIL BALANCE'!F415-'TRAIL BALANCE'!F373</f>
        <v>995265.42</v>
      </c>
      <c r="C14" s="215">
        <f>-'Appendix E(1)a'!E14</f>
        <v>272986</v>
      </c>
      <c r="D14" s="215">
        <f t="shared" si="1"/>
        <v>722279.42</v>
      </c>
      <c r="E14" s="813">
        <f t="shared" si="0"/>
        <v>264.58478456770678</v>
      </c>
      <c r="F14" s="815" t="s">
        <v>2000</v>
      </c>
    </row>
    <row r="15" spans="1:7">
      <c r="A15" s="812" t="s">
        <v>716</v>
      </c>
      <c r="B15" s="215">
        <f>-'TRAIL BALANCE'!F184</f>
        <v>169601.98</v>
      </c>
      <c r="C15" s="215">
        <f>-'Appendix E(1)a'!E15</f>
        <v>27986</v>
      </c>
      <c r="D15" s="215">
        <f t="shared" si="1"/>
        <v>141615.98000000001</v>
      </c>
      <c r="E15" s="813">
        <f t="shared" si="0"/>
        <v>506.02436932752096</v>
      </c>
      <c r="F15" s="815" t="s">
        <v>2820</v>
      </c>
    </row>
    <row r="16" spans="1:7">
      <c r="A16" s="812" t="s">
        <v>717</v>
      </c>
      <c r="B16" s="215">
        <f>-'TRAIL BALANCE'!F185</f>
        <v>1447504.56</v>
      </c>
      <c r="C16" s="215">
        <f>-'Appendix E(1)a'!E16</f>
        <v>1403564</v>
      </c>
      <c r="D16" s="215">
        <f t="shared" si="1"/>
        <v>43940.560000000056</v>
      </c>
      <c r="E16" s="813">
        <f t="shared" si="0"/>
        <v>3.1306417092487453</v>
      </c>
      <c r="F16" s="815"/>
    </row>
    <row r="17" spans="1:7">
      <c r="A17" s="812" t="s">
        <v>718</v>
      </c>
      <c r="B17" s="215">
        <f>-'TRAIL BALANCE'!F521</f>
        <v>1302820</v>
      </c>
      <c r="C17" s="215">
        <f>-'Appendix E(1)a'!E17</f>
        <v>2000000</v>
      </c>
      <c r="D17" s="215">
        <f t="shared" si="1"/>
        <v>-697180</v>
      </c>
      <c r="E17" s="813">
        <f t="shared" si="0"/>
        <v>-34.859000000000002</v>
      </c>
      <c r="F17" s="816" t="s">
        <v>2001</v>
      </c>
    </row>
    <row r="18" spans="1:7">
      <c r="A18" s="812" t="s">
        <v>37</v>
      </c>
      <c r="B18" s="215">
        <f>-'TRAIL BALANCE'!F520</f>
        <v>2361495.7999999998</v>
      </c>
      <c r="C18" s="215">
        <f>-'Appendix E(1)a'!E18</f>
        <v>1485284</v>
      </c>
      <c r="D18" s="215">
        <f t="shared" si="1"/>
        <v>876211.79999999981</v>
      </c>
      <c r="E18" s="813">
        <f t="shared" si="0"/>
        <v>58.992879476248305</v>
      </c>
      <c r="F18" s="815" t="s">
        <v>2002</v>
      </c>
    </row>
    <row r="19" spans="1:7" hidden="1">
      <c r="A19" s="812" t="s">
        <v>38</v>
      </c>
      <c r="B19" s="215">
        <v>0</v>
      </c>
      <c r="C19" s="215">
        <f>-'Appendix E(1)a'!E19</f>
        <v>0</v>
      </c>
      <c r="D19" s="215">
        <f t="shared" si="1"/>
        <v>0</v>
      </c>
      <c r="E19" s="813" t="e">
        <f t="shared" si="0"/>
        <v>#DIV/0!</v>
      </c>
      <c r="F19" s="815" t="s">
        <v>2003</v>
      </c>
    </row>
    <row r="20" spans="1:7">
      <c r="A20" s="812" t="s">
        <v>39</v>
      </c>
      <c r="B20" s="215">
        <f>-'TRAIL BALANCE'!F12-'TRAIL BALANCE'!F187-'TRAIL BALANCE'!F188-'TRAIL BALANCE'!F247</f>
        <v>27795257</v>
      </c>
      <c r="C20" s="215">
        <f>-'Appendix E(1)a'!E20</f>
        <v>27795000</v>
      </c>
      <c r="D20" s="215">
        <f t="shared" si="1"/>
        <v>257</v>
      </c>
      <c r="E20" s="813">
        <f t="shared" si="0"/>
        <v>9.2462673142651561E-4</v>
      </c>
      <c r="F20" s="815" t="s">
        <v>36</v>
      </c>
    </row>
    <row r="21" spans="1:7">
      <c r="A21" s="812" t="s">
        <v>40</v>
      </c>
      <c r="B21" s="215">
        <f>-'TRAIL BALANCE'!F342</f>
        <v>8552027.7699999996</v>
      </c>
      <c r="C21" s="215">
        <f>-'Appendix E(1)a'!E21</f>
        <v>10010000</v>
      </c>
      <c r="D21" s="215">
        <f t="shared" si="1"/>
        <v>-1457972.2300000004</v>
      </c>
      <c r="E21" s="813">
        <f t="shared" si="0"/>
        <v>-14.565157142857146</v>
      </c>
      <c r="F21" s="815" t="s">
        <v>2004</v>
      </c>
    </row>
    <row r="22" spans="1:7">
      <c r="A22" s="812" t="s">
        <v>1722</v>
      </c>
      <c r="B22" s="215">
        <f>-'TRAIL BALANCE'!F378</f>
        <v>2921572.99</v>
      </c>
      <c r="C22" s="215">
        <f>'Appendix E(1)a'!E22</f>
        <v>0</v>
      </c>
      <c r="D22" s="215"/>
      <c r="E22" s="813">
        <v>0</v>
      </c>
      <c r="F22" s="815"/>
    </row>
    <row r="23" spans="1:7" ht="25.5" hidden="1">
      <c r="A23" s="812" t="s">
        <v>722</v>
      </c>
      <c r="B23" s="215">
        <v>0</v>
      </c>
      <c r="C23" s="215">
        <f>'Appendix E(1)a'!E23</f>
        <v>0</v>
      </c>
      <c r="D23" s="215">
        <f t="shared" si="1"/>
        <v>0</v>
      </c>
      <c r="E23" s="813" t="e">
        <f t="shared" si="0"/>
        <v>#DIV/0!</v>
      </c>
      <c r="F23" s="815"/>
    </row>
    <row r="24" spans="1:7" ht="25.5">
      <c r="A24" s="812" t="s">
        <v>723</v>
      </c>
      <c r="B24" s="215">
        <f>-'TRAIL BALANCE'!F9-'TRAIL BALANCE'!F10-'TRAIL BALANCE'!F11-'TRAIL BALANCE'!F148-'TRAIL BALANCE'!F186-'TRAIL BALANCE'!F375-'TRAIL BALANCE'!F376-'TRAIL BALANCE'!F302</f>
        <v>14208326.180000002</v>
      </c>
      <c r="C24" s="215">
        <f>-'Appendix E(1)a'!E24</f>
        <v>12385038</v>
      </c>
      <c r="D24" s="215">
        <f t="shared" si="1"/>
        <v>1823288.1800000016</v>
      </c>
      <c r="E24" s="813">
        <f t="shared" si="0"/>
        <v>14.721700329058349</v>
      </c>
      <c r="F24" s="815" t="s">
        <v>2005</v>
      </c>
    </row>
    <row r="25" spans="1:7" ht="25.5">
      <c r="A25" s="812" t="s">
        <v>1038</v>
      </c>
      <c r="B25" s="215">
        <f>-'TRAIL BALANCE'!F416</f>
        <v>158500</v>
      </c>
      <c r="C25" s="215">
        <f>'Appendix E(1)a'!E25</f>
        <v>0</v>
      </c>
      <c r="D25" s="215">
        <f t="shared" si="1"/>
        <v>158500</v>
      </c>
      <c r="E25" s="813">
        <v>0</v>
      </c>
      <c r="F25" s="815"/>
    </row>
    <row r="26" spans="1:7">
      <c r="A26" s="437" t="s">
        <v>724</v>
      </c>
      <c r="B26" s="200">
        <f>SUM(B8:B25)</f>
        <v>131167888.15000001</v>
      </c>
      <c r="C26" s="200">
        <f>SUM(C8:C25)</f>
        <v>130043829</v>
      </c>
      <c r="D26" s="200">
        <f>SUM(D8:D25)</f>
        <v>-1797513.839999998</v>
      </c>
      <c r="E26" s="201">
        <f t="shared" si="0"/>
        <v>-1.3822369379788086</v>
      </c>
      <c r="F26" s="447"/>
    </row>
    <row r="27" spans="1:7">
      <c r="A27" s="269"/>
      <c r="B27" s="317"/>
      <c r="C27" s="317"/>
      <c r="D27" s="317"/>
      <c r="E27" s="317"/>
      <c r="F27" s="817"/>
      <c r="G27" s="818"/>
    </row>
    <row r="28" spans="1:7">
      <c r="A28" s="1780" t="s">
        <v>1343</v>
      </c>
      <c r="B28" s="1728"/>
      <c r="C28" s="1728"/>
      <c r="D28" s="1728"/>
      <c r="E28" s="1728"/>
      <c r="F28" s="1781"/>
    </row>
    <row r="29" spans="1:7">
      <c r="A29" s="1780" t="s">
        <v>2349</v>
      </c>
      <c r="B29" s="1728"/>
      <c r="C29" s="1728"/>
      <c r="D29" s="1728"/>
      <c r="E29" s="1728"/>
      <c r="F29" s="1781"/>
    </row>
    <row r="30" spans="1:7">
      <c r="A30" s="1780" t="s">
        <v>1795</v>
      </c>
      <c r="B30" s="1728"/>
      <c r="C30" s="1728"/>
      <c r="D30" s="1728"/>
      <c r="E30" s="1728"/>
      <c r="F30" s="1781"/>
    </row>
    <row r="31" spans="1:7">
      <c r="A31" s="1787"/>
      <c r="B31" s="1742"/>
      <c r="C31" s="1027"/>
      <c r="D31" s="1027"/>
      <c r="E31" s="1027"/>
      <c r="F31" s="638"/>
      <c r="G31" s="819"/>
    </row>
    <row r="32" spans="1:7" ht="25.5">
      <c r="A32" s="1778"/>
      <c r="B32" s="180" t="s">
        <v>2330</v>
      </c>
      <c r="C32" s="304" t="s">
        <v>2331</v>
      </c>
      <c r="D32" s="304" t="s">
        <v>2334</v>
      </c>
      <c r="E32" s="304" t="s">
        <v>2335</v>
      </c>
      <c r="F32" s="448" t="s">
        <v>1039</v>
      </c>
    </row>
    <row r="33" spans="1:8">
      <c r="A33" s="1779"/>
      <c r="B33" s="199" t="s">
        <v>1314</v>
      </c>
      <c r="C33" s="305" t="s">
        <v>1314</v>
      </c>
      <c r="D33" s="305" t="s">
        <v>1314</v>
      </c>
      <c r="E33" s="305" t="s">
        <v>1287</v>
      </c>
      <c r="F33" s="446"/>
    </row>
    <row r="34" spans="1:8">
      <c r="A34" s="436" t="s">
        <v>725</v>
      </c>
      <c r="B34" s="1370"/>
      <c r="C34" s="202"/>
      <c r="D34" s="202"/>
      <c r="E34" s="203"/>
      <c r="F34" s="449"/>
    </row>
    <row r="35" spans="1:8">
      <c r="A35" s="812" t="s">
        <v>524</v>
      </c>
      <c r="B35" s="215">
        <f>'EMPLOYEE COST 1011'!F188</f>
        <v>32475978.98</v>
      </c>
      <c r="C35" s="215">
        <f>'Appendix E(1)a'!E35</f>
        <v>32479757</v>
      </c>
      <c r="D35" s="215">
        <f t="shared" ref="D35:D49" si="2">B35-C35</f>
        <v>-3778.019999999553</v>
      </c>
      <c r="E35" s="813">
        <f t="shared" ref="E35:E51" si="3">D35/C35*100</f>
        <v>-1.1631921999907674E-2</v>
      </c>
      <c r="F35" s="811" t="s">
        <v>36</v>
      </c>
    </row>
    <row r="36" spans="1:8">
      <c r="A36" s="812" t="s">
        <v>726</v>
      </c>
      <c r="B36" s="215">
        <f>'EMPLOYEE COST 1011'!F201</f>
        <v>2975719.25</v>
      </c>
      <c r="C36" s="215">
        <f>'Appendix E(1)a'!E36</f>
        <v>2971922</v>
      </c>
      <c r="D36" s="215">
        <f t="shared" si="2"/>
        <v>3797.25</v>
      </c>
      <c r="E36" s="820">
        <f t="shared" si="3"/>
        <v>0.12777084997520124</v>
      </c>
      <c r="F36" s="811"/>
    </row>
    <row r="37" spans="1:8">
      <c r="A37" s="812" t="s">
        <v>727</v>
      </c>
      <c r="B37" s="215">
        <f>'TRAIL BALANCE'!F204</f>
        <v>3646241.45</v>
      </c>
      <c r="C37" s="215">
        <f>'Appendix E(1)a'!E37</f>
        <v>1136072</v>
      </c>
      <c r="D37" s="215">
        <f t="shared" si="2"/>
        <v>2510169.4500000002</v>
      </c>
      <c r="E37" s="820">
        <f t="shared" si="3"/>
        <v>220.9516166228901</v>
      </c>
      <c r="F37" s="811" t="s">
        <v>2006</v>
      </c>
    </row>
    <row r="38" spans="1:8">
      <c r="A38" s="812" t="s">
        <v>728</v>
      </c>
      <c r="B38" s="215">
        <f>'TRAIL BALANCE'!F205</f>
        <v>16527.14</v>
      </c>
      <c r="C38" s="215">
        <f>'Appendix E(1)a'!E38</f>
        <v>19277</v>
      </c>
      <c r="D38" s="215">
        <f t="shared" si="2"/>
        <v>-2749.8600000000006</v>
      </c>
      <c r="E38" s="820">
        <f t="shared" si="3"/>
        <v>-14.264978990506824</v>
      </c>
      <c r="F38" s="811"/>
    </row>
    <row r="39" spans="1:8">
      <c r="A39" s="812" t="s">
        <v>729</v>
      </c>
      <c r="B39" s="215">
        <f>'TRAIL BALANCE'!F27+'TRAIL BALANCE'!F78+'TRAIL BALANCE'!F124+'TRAIL BALANCE'!F159+'TRAIL BALANCE'!F176+'TRAIL BALANCE'!F206+'TRAIL BALANCE'!F259+'TRAIL BALANCE'!F290+'TRAIL BALANCE'!F325+'TRAIL BALANCE'!F358+'TRAIL BALANCE'!F394+'TRAIL BALANCE'!F454+'TRAIL BALANCE'!F537+'TRAIL BALANCE'!F272</f>
        <v>7137211.4399999995</v>
      </c>
      <c r="C39" s="215">
        <f>'Appendix E(1)a'!E39</f>
        <v>6425680</v>
      </c>
      <c r="D39" s="215">
        <f t="shared" si="2"/>
        <v>711531.43999999948</v>
      </c>
      <c r="E39" s="813">
        <f>D39/C39*100</f>
        <v>11.073247345028067</v>
      </c>
      <c r="F39" s="811" t="s">
        <v>2006</v>
      </c>
    </row>
    <row r="40" spans="1:8">
      <c r="A40" s="812" t="s">
        <v>1040</v>
      </c>
      <c r="B40" s="215">
        <f>'TRAIL BALANCE'!F160+'TRAIL BALANCE'!F207+'TRAIL BALANCE'!F260+'TRAIL BALANCE'!F291+'TRAIL BALANCE'!F292+'TRAIL BALANCE'!F326+'TRAIL BALANCE'!F327+'TRAIL BALANCE'!F329+'TRAIL BALANCE'!F360+'TRAIL BALANCE'!F361+'TRAIL BALANCE'!F395+'TRAIL BALANCE'!F396+'TRAIL BALANCE'!F397+'TRAIL BALANCE'!F399+'TRAIL BALANCE'!F423+'TRAIL BALANCE'!F424+'TRAIL BALANCE'!F455+'TRAIL BALANCE'!F456+'TRAIL BALANCE'!F457+'TRAIL BALANCE'!F538+'TRAIL BALANCE'!F539+'TRAIL BALANCE'!F540+'TRAIL BALANCE'!F28+'TRAIL BALANCE'!F30+'TRAIL BALANCE'!F31+'TRAIL BALANCE'!F29+'TRAIL BALANCE'!F328+'TRAIL BALANCE'!F359+'TRAIL BALANCE'!F471+'TRAIL BALANCE'!F177</f>
        <v>4422976.5100000007</v>
      </c>
      <c r="C40" s="215">
        <f>'Appendix E(1)a'!E40</f>
        <v>4246938</v>
      </c>
      <c r="D40" s="215">
        <f t="shared" si="2"/>
        <v>176038.51000000071</v>
      </c>
      <c r="E40" s="820">
        <f t="shared" si="3"/>
        <v>4.1450689885277514</v>
      </c>
      <c r="F40" s="811" t="s">
        <v>36</v>
      </c>
    </row>
    <row r="41" spans="1:8">
      <c r="A41" s="812" t="s">
        <v>1041</v>
      </c>
      <c r="B41" s="215">
        <f>'TRAIL BALANCE'!F330+'TRAIL BALANCE'!F401+'TRAIL BALANCE'!F425+'TRAIL BALANCE'!F458+'TRAIL BALANCE'!F541+'TRAIL BALANCE'!F32</f>
        <v>1606744.2</v>
      </c>
      <c r="C41" s="215">
        <f>'Appendix E(1)a'!E41</f>
        <v>1535663</v>
      </c>
      <c r="D41" s="215">
        <f t="shared" si="2"/>
        <v>71081.199999999953</v>
      </c>
      <c r="E41" s="820">
        <f t="shared" si="3"/>
        <v>4.6286978327927386</v>
      </c>
      <c r="F41" s="811" t="s">
        <v>36</v>
      </c>
      <c r="H41" s="363">
        <f>17532811-17532624</f>
        <v>187</v>
      </c>
    </row>
    <row r="42" spans="1:8">
      <c r="A42" s="812" t="s">
        <v>1042</v>
      </c>
      <c r="B42" s="215">
        <f>'TRAIL BALANCE'!F459</f>
        <v>30105151.129999999</v>
      </c>
      <c r="C42" s="215">
        <f>'Appendix E(1)a'!E42</f>
        <v>37018982</v>
      </c>
      <c r="D42" s="215">
        <f t="shared" si="2"/>
        <v>-6913830.870000001</v>
      </c>
      <c r="E42" s="820">
        <f t="shared" si="3"/>
        <v>-18.676447855859465</v>
      </c>
      <c r="F42" s="811" t="s">
        <v>2821</v>
      </c>
    </row>
    <row r="43" spans="1:8">
      <c r="A43" s="812" t="s">
        <v>1568</v>
      </c>
      <c r="B43" s="215">
        <v>0</v>
      </c>
      <c r="C43" s="215">
        <f>'Appendix E(1)a'!E43</f>
        <v>0</v>
      </c>
      <c r="D43" s="215"/>
      <c r="E43" s="820"/>
      <c r="F43" s="811"/>
    </row>
    <row r="44" spans="1:8">
      <c r="A44" s="812" t="s">
        <v>732</v>
      </c>
      <c r="B44" s="215">
        <f>'TRAIL BALANCE'!F33</f>
        <v>2290430.41</v>
      </c>
      <c r="C44" s="215">
        <f>'Appendix E(1)a'!E44</f>
        <v>2290430</v>
      </c>
      <c r="D44" s="215">
        <f t="shared" si="2"/>
        <v>0.41000000014901161</v>
      </c>
      <c r="E44" s="820">
        <f t="shared" si="3"/>
        <v>1.7900568895317107E-5</v>
      </c>
      <c r="F44" s="811"/>
    </row>
    <row r="45" spans="1:8">
      <c r="A45" s="812" t="s">
        <v>1043</v>
      </c>
      <c r="B45" s="215">
        <f>'TRAIL BALANCE'!F223+'TRAIL BALANCE'!F268</f>
        <v>3750000</v>
      </c>
      <c r="C45" s="215">
        <f>'Appendix E(1)a'!E45</f>
        <v>3750000</v>
      </c>
      <c r="D45" s="215">
        <f t="shared" si="2"/>
        <v>0</v>
      </c>
      <c r="E45" s="820">
        <f t="shared" si="3"/>
        <v>0</v>
      </c>
      <c r="F45" s="811"/>
    </row>
    <row r="46" spans="1:8">
      <c r="A46" s="812" t="s">
        <v>1044</v>
      </c>
      <c r="B46" s="215">
        <f>'GENERAL EXP NOTA 35'!F185</f>
        <v>26955894.380000003</v>
      </c>
      <c r="C46" s="215">
        <f>'Appendix E(1)a'!E46</f>
        <v>31884775</v>
      </c>
      <c r="D46" s="215">
        <f t="shared" si="2"/>
        <v>-4928880.6199999973</v>
      </c>
      <c r="E46" s="820">
        <f t="shared" si="3"/>
        <v>-15.458414305887363</v>
      </c>
      <c r="F46" s="811" t="s">
        <v>2822</v>
      </c>
    </row>
    <row r="47" spans="1:8">
      <c r="A47" s="812" t="s">
        <v>1045</v>
      </c>
      <c r="B47" s="215">
        <f>'TRAIL BALANCE'!F422</f>
        <v>1932.0300000000279</v>
      </c>
      <c r="C47" s="215">
        <f>'Appendix E(1)a'!E47</f>
        <v>0</v>
      </c>
      <c r="D47" s="215">
        <f t="shared" si="2"/>
        <v>1932.0300000000279</v>
      </c>
      <c r="E47" s="820">
        <v>0</v>
      </c>
      <c r="F47" s="811"/>
    </row>
    <row r="48" spans="1:8">
      <c r="A48" s="812" t="s">
        <v>1737</v>
      </c>
      <c r="B48" s="215">
        <f>'TRAIL BALANCE'!F230</f>
        <v>419890.57</v>
      </c>
      <c r="C48" s="215">
        <f>'Appendix E(1)a'!E48</f>
        <v>0</v>
      </c>
      <c r="D48" s="215"/>
      <c r="E48" s="820"/>
      <c r="F48" s="811"/>
    </row>
    <row r="49" spans="1:6">
      <c r="A49" s="812" t="s">
        <v>1046</v>
      </c>
      <c r="B49" s="215">
        <f>'TRAIL BALANCE'!F228+'TRAIL BALANCE'!F229</f>
        <v>164865</v>
      </c>
      <c r="C49" s="215">
        <f>'Appendix E(1)a'!E49</f>
        <v>2362252</v>
      </c>
      <c r="D49" s="215">
        <f t="shared" si="2"/>
        <v>-2197387</v>
      </c>
      <c r="E49" s="820">
        <f t="shared" si="3"/>
        <v>-93.020854675961743</v>
      </c>
      <c r="F49" s="811" t="s">
        <v>2007</v>
      </c>
    </row>
    <row r="50" spans="1:6">
      <c r="A50" s="436" t="s">
        <v>1380</v>
      </c>
      <c r="B50" s="200">
        <f>SUM(B35:B49)</f>
        <v>115969562.49000001</v>
      </c>
      <c r="C50" s="200">
        <f>SUM(C35:C49)</f>
        <v>126121748</v>
      </c>
      <c r="D50" s="200">
        <f>SUM(D35:D49)</f>
        <v>-10572076.079999998</v>
      </c>
      <c r="E50" s="201">
        <f t="shared" si="3"/>
        <v>-8.3824370084055584</v>
      </c>
      <c r="F50" s="449"/>
    </row>
    <row r="51" spans="1:6" ht="13.5" thickBot="1">
      <c r="A51" s="450" t="s">
        <v>1381</v>
      </c>
      <c r="B51" s="451">
        <f>B26-B50</f>
        <v>15198325.659999996</v>
      </c>
      <c r="C51" s="451">
        <f>C26-C50</f>
        <v>3922081</v>
      </c>
      <c r="D51" s="451">
        <f>D26-D50</f>
        <v>8774562.2400000002</v>
      </c>
      <c r="E51" s="452">
        <f t="shared" si="3"/>
        <v>223.72210670814806</v>
      </c>
      <c r="F51" s="453"/>
    </row>
    <row r="57" spans="1:6">
      <c r="C57" s="192"/>
    </row>
  </sheetData>
  <mergeCells count="9">
    <mergeCell ref="A32:A33"/>
    <mergeCell ref="A28:F28"/>
    <mergeCell ref="A29:F29"/>
    <mergeCell ref="A1:F1"/>
    <mergeCell ref="A2:F2"/>
    <mergeCell ref="A3:F3"/>
    <mergeCell ref="A5:A6"/>
    <mergeCell ref="A30:F30"/>
    <mergeCell ref="A31:B31"/>
  </mergeCells>
  <phoneticPr fontId="0" type="noConversion"/>
  <printOptions horizontalCentered="1"/>
  <pageMargins left="0.6692913385826772" right="0.39370078740157483" top="0.98425196850393704" bottom="0.98425196850393704" header="0.51181102362204722" footer="0.51181102362204722"/>
  <pageSetup scale="66" orientation="portrait" r:id="rId1"/>
  <headerFooter>
    <oddHeader>&amp;C FINANCIAL STATEMENTS: MUSINA LOCAL MUNICIPALITY</oddHeader>
    <oddFooter>&amp;RPage &amp;P</oddFooter>
  </headerFooter>
  <rowBreaks count="1" manualBreakCount="1">
    <brk id="27" max="16383" man="1"/>
  </rowBreaks>
</worksheet>
</file>

<file path=xl/worksheets/sheet3.xml><?xml version="1.0" encoding="utf-8"?>
<worksheet xmlns="http://schemas.openxmlformats.org/spreadsheetml/2006/main" xmlns:r="http://schemas.openxmlformats.org/officeDocument/2006/relationships">
  <sheetPr>
    <pageSetUpPr fitToPage="1"/>
  </sheetPr>
  <dimension ref="A1:J125"/>
  <sheetViews>
    <sheetView view="pageBreakPreview" zoomScaleSheetLayoutView="100" workbookViewId="0">
      <selection activeCell="C43" activeCellId="1" sqref="E18 C43"/>
    </sheetView>
  </sheetViews>
  <sheetFormatPr defaultRowHeight="12.75"/>
  <cols>
    <col min="1" max="16384" width="9.140625" style="577"/>
  </cols>
  <sheetData>
    <row r="1" spans="1:10" ht="13.5" thickTop="1">
      <c r="A1" s="574"/>
      <c r="B1" s="575"/>
      <c r="C1" s="575"/>
      <c r="D1" s="575"/>
      <c r="E1" s="575"/>
      <c r="F1" s="575"/>
      <c r="G1" s="575"/>
      <c r="H1" s="575"/>
      <c r="I1" s="575"/>
      <c r="J1" s="576"/>
    </row>
    <row r="2" spans="1:10">
      <c r="A2" s="578"/>
      <c r="B2" s="126"/>
      <c r="C2" s="126"/>
      <c r="D2" s="126"/>
      <c r="E2" s="126"/>
      <c r="F2" s="126"/>
      <c r="G2" s="126"/>
      <c r="H2" s="126"/>
      <c r="I2" s="126"/>
      <c r="J2" s="579"/>
    </row>
    <row r="3" spans="1:10">
      <c r="A3" s="578"/>
      <c r="B3" s="32" t="s">
        <v>1527</v>
      </c>
      <c r="C3" s="126"/>
      <c r="D3" s="126"/>
      <c r="E3" s="126"/>
      <c r="F3" s="126"/>
      <c r="G3" s="126"/>
      <c r="H3" s="126"/>
      <c r="I3" s="126"/>
      <c r="J3" s="579"/>
    </row>
    <row r="4" spans="1:10">
      <c r="A4" s="578"/>
      <c r="B4" s="32"/>
      <c r="C4" s="126"/>
      <c r="D4" s="126"/>
      <c r="E4" s="126"/>
      <c r="F4" s="126"/>
      <c r="G4" s="126"/>
      <c r="H4" s="126"/>
      <c r="I4" s="126"/>
      <c r="J4" s="579"/>
    </row>
    <row r="5" spans="1:10">
      <c r="A5" s="578"/>
      <c r="C5" s="126"/>
      <c r="D5" s="126"/>
      <c r="E5" s="126"/>
      <c r="F5" s="126"/>
      <c r="G5" s="126"/>
      <c r="H5" s="126"/>
      <c r="I5" s="126"/>
      <c r="J5" s="579"/>
    </row>
    <row r="6" spans="1:10" ht="60" customHeight="1">
      <c r="A6" s="578"/>
      <c r="B6" s="1658" t="s">
        <v>2341</v>
      </c>
      <c r="C6" s="1658"/>
      <c r="D6" s="1658"/>
      <c r="E6" s="1658"/>
      <c r="F6" s="1658"/>
      <c r="G6" s="1658"/>
      <c r="H6" s="1658"/>
      <c r="I6" s="1658"/>
      <c r="J6" s="579"/>
    </row>
    <row r="7" spans="1:10">
      <c r="A7" s="578"/>
      <c r="C7" s="126"/>
      <c r="D7" s="126"/>
      <c r="E7" s="126"/>
      <c r="F7" s="126"/>
      <c r="G7" s="126"/>
      <c r="H7" s="126"/>
      <c r="I7" s="126"/>
      <c r="J7" s="579"/>
    </row>
    <row r="8" spans="1:10" ht="81" customHeight="1">
      <c r="A8" s="578"/>
      <c r="B8" s="1658" t="s">
        <v>1703</v>
      </c>
      <c r="C8" s="1658"/>
      <c r="D8" s="1658"/>
      <c r="E8" s="1658"/>
      <c r="F8" s="1658"/>
      <c r="G8" s="1658"/>
      <c r="H8" s="1658"/>
      <c r="I8" s="1658"/>
      <c r="J8" s="579"/>
    </row>
    <row r="9" spans="1:10">
      <c r="A9" s="578"/>
      <c r="C9" s="126"/>
      <c r="D9" s="126"/>
      <c r="E9" s="126"/>
      <c r="F9" s="126"/>
      <c r="G9" s="126"/>
      <c r="H9" s="126"/>
      <c r="I9" s="126"/>
      <c r="J9" s="579"/>
    </row>
    <row r="10" spans="1:10">
      <c r="A10" s="578"/>
      <c r="C10" s="126"/>
      <c r="D10" s="126"/>
      <c r="E10" s="126"/>
      <c r="F10" s="126"/>
      <c r="G10" s="126"/>
      <c r="H10" s="126"/>
      <c r="I10" s="126"/>
      <c r="J10" s="579"/>
    </row>
    <row r="11" spans="1:10">
      <c r="A11" s="578"/>
      <c r="C11" s="126"/>
      <c r="D11" s="126"/>
      <c r="E11" s="126"/>
      <c r="F11" s="126"/>
      <c r="G11" s="126"/>
      <c r="H11" s="126"/>
      <c r="I11" s="126"/>
      <c r="J11" s="579"/>
    </row>
    <row r="12" spans="1:10">
      <c r="A12" s="578"/>
      <c r="C12" s="126"/>
      <c r="D12" s="126"/>
      <c r="E12" s="126"/>
      <c r="F12" s="126"/>
      <c r="G12" s="126"/>
      <c r="H12" s="126"/>
      <c r="I12" s="126"/>
      <c r="J12" s="579"/>
    </row>
    <row r="13" spans="1:10">
      <c r="A13" s="578"/>
      <c r="C13" s="126"/>
      <c r="D13" s="126"/>
      <c r="E13" s="126"/>
      <c r="F13" s="126"/>
      <c r="G13" s="126"/>
      <c r="H13" s="126"/>
      <c r="I13" s="126"/>
      <c r="J13" s="579"/>
    </row>
    <row r="14" spans="1:10">
      <c r="A14" s="578"/>
      <c r="C14" s="126"/>
      <c r="D14" s="126"/>
      <c r="E14" s="126"/>
      <c r="F14" s="126"/>
      <c r="G14" s="126"/>
      <c r="H14" s="126"/>
      <c r="I14" s="126"/>
      <c r="J14" s="579"/>
    </row>
    <row r="15" spans="1:10">
      <c r="A15" s="578"/>
      <c r="B15" s="32"/>
      <c r="C15" s="126"/>
      <c r="D15" s="126"/>
      <c r="E15" s="126"/>
      <c r="F15" s="126"/>
      <c r="G15" s="126"/>
      <c r="H15" s="126"/>
      <c r="I15" s="126"/>
      <c r="J15" s="579"/>
    </row>
    <row r="16" spans="1:10">
      <c r="A16" s="578"/>
      <c r="B16" s="580" t="s">
        <v>2667</v>
      </c>
      <c r="C16" s="581"/>
      <c r="D16" s="581"/>
      <c r="E16" s="126"/>
      <c r="F16" s="126"/>
      <c r="G16" s="580" t="s">
        <v>2668</v>
      </c>
      <c r="H16" s="580"/>
      <c r="I16" s="581"/>
      <c r="J16" s="579"/>
    </row>
    <row r="17" spans="1:10">
      <c r="A17" s="578"/>
      <c r="B17" s="582" t="s">
        <v>2670</v>
      </c>
      <c r="C17" s="126"/>
      <c r="D17" s="126"/>
      <c r="E17" s="126"/>
      <c r="F17" s="126"/>
      <c r="G17" s="31" t="s">
        <v>2669</v>
      </c>
      <c r="H17" s="126"/>
      <c r="I17" s="126"/>
      <c r="J17" s="579"/>
    </row>
    <row r="18" spans="1:10">
      <c r="A18" s="578"/>
      <c r="C18" s="126"/>
      <c r="D18" s="126"/>
      <c r="E18" s="126"/>
      <c r="F18" s="126"/>
      <c r="G18" s="126"/>
      <c r="H18" s="126"/>
      <c r="I18" s="126"/>
      <c r="J18" s="579"/>
    </row>
    <row r="19" spans="1:10">
      <c r="A19" s="578"/>
      <c r="C19" s="126"/>
      <c r="D19" s="126"/>
      <c r="E19" s="126"/>
      <c r="F19" s="126"/>
      <c r="G19" s="126"/>
      <c r="H19" s="126"/>
      <c r="I19" s="126"/>
      <c r="J19" s="579"/>
    </row>
    <row r="20" spans="1:10">
      <c r="A20" s="578"/>
      <c r="B20" s="32" t="s">
        <v>1324</v>
      </c>
      <c r="C20" s="126"/>
      <c r="D20" s="126"/>
      <c r="E20" s="126"/>
      <c r="F20" s="126"/>
      <c r="G20" s="32" t="s">
        <v>1324</v>
      </c>
      <c r="H20" s="126"/>
      <c r="I20" s="126"/>
      <c r="J20" s="579"/>
    </row>
    <row r="21" spans="1:10">
      <c r="A21" s="578"/>
      <c r="B21" s="126"/>
      <c r="C21" s="126"/>
      <c r="D21" s="126"/>
      <c r="E21" s="126"/>
      <c r="F21" s="126"/>
      <c r="G21" s="126"/>
      <c r="H21" s="126"/>
      <c r="I21" s="126"/>
      <c r="J21" s="579"/>
    </row>
    <row r="22" spans="1:10">
      <c r="A22" s="578"/>
      <c r="B22" s="126"/>
      <c r="C22" s="126"/>
      <c r="D22" s="126"/>
      <c r="E22" s="126"/>
      <c r="F22" s="126"/>
      <c r="G22" s="126"/>
      <c r="H22" s="126"/>
      <c r="I22" s="126"/>
      <c r="J22" s="579"/>
    </row>
    <row r="23" spans="1:10">
      <c r="A23" s="578"/>
      <c r="B23" s="126"/>
      <c r="C23" s="126"/>
      <c r="D23" s="126"/>
      <c r="E23" s="126"/>
      <c r="F23" s="126"/>
      <c r="G23" s="126"/>
      <c r="H23" s="126"/>
      <c r="I23" s="126"/>
      <c r="J23" s="579"/>
    </row>
    <row r="24" spans="1:10">
      <c r="A24" s="578"/>
      <c r="B24" s="126"/>
      <c r="C24" s="126"/>
      <c r="D24" s="126"/>
      <c r="E24" s="126"/>
      <c r="F24" s="126"/>
      <c r="G24" s="126"/>
      <c r="H24" s="126"/>
      <c r="I24" s="126"/>
      <c r="J24" s="579"/>
    </row>
    <row r="25" spans="1:10">
      <c r="A25" s="578"/>
      <c r="B25" s="126"/>
      <c r="C25" s="126"/>
      <c r="D25" s="126"/>
      <c r="E25" s="126"/>
      <c r="F25" s="126"/>
      <c r="G25" s="126"/>
      <c r="H25" s="126"/>
      <c r="I25" s="126"/>
      <c r="J25" s="579"/>
    </row>
    <row r="26" spans="1:10">
      <c r="A26" s="578"/>
      <c r="B26" s="126"/>
      <c r="C26" s="126"/>
      <c r="D26" s="126"/>
      <c r="E26" s="126"/>
      <c r="F26" s="126"/>
      <c r="G26" s="126"/>
      <c r="H26" s="126"/>
      <c r="I26" s="126"/>
      <c r="J26" s="579"/>
    </row>
    <row r="27" spans="1:10">
      <c r="A27" s="578"/>
      <c r="B27" s="126"/>
      <c r="C27" s="126"/>
      <c r="D27" s="126"/>
      <c r="E27" s="126"/>
      <c r="F27" s="126"/>
      <c r="G27" s="126"/>
      <c r="H27" s="126"/>
      <c r="I27" s="126"/>
      <c r="J27" s="579"/>
    </row>
    <row r="28" spans="1:10">
      <c r="A28" s="578"/>
      <c r="B28" s="126"/>
      <c r="C28" s="126"/>
      <c r="D28" s="126"/>
      <c r="E28" s="126"/>
      <c r="F28" s="126"/>
      <c r="G28" s="126"/>
      <c r="H28" s="126"/>
      <c r="I28" s="126"/>
      <c r="J28" s="579"/>
    </row>
    <row r="29" spans="1:10">
      <c r="A29" s="578"/>
      <c r="B29" s="126"/>
      <c r="C29" s="126"/>
      <c r="D29" s="126"/>
      <c r="E29" s="126"/>
      <c r="F29" s="126"/>
      <c r="G29" s="126"/>
      <c r="H29" s="126"/>
      <c r="I29" s="126"/>
      <c r="J29" s="579"/>
    </row>
    <row r="30" spans="1:10">
      <c r="A30" s="578"/>
      <c r="B30" s="126"/>
      <c r="C30" s="126"/>
      <c r="D30" s="126"/>
      <c r="E30" s="126"/>
      <c r="F30" s="126"/>
      <c r="G30" s="126"/>
      <c r="H30" s="126"/>
      <c r="I30" s="126"/>
      <c r="J30" s="579"/>
    </row>
    <row r="31" spans="1:10">
      <c r="A31" s="578"/>
      <c r="B31" s="126"/>
      <c r="C31" s="126"/>
      <c r="D31" s="126"/>
      <c r="E31" s="126"/>
      <c r="F31" s="126"/>
      <c r="G31" s="126"/>
      <c r="H31" s="126"/>
      <c r="I31" s="126"/>
      <c r="J31" s="579"/>
    </row>
    <row r="32" spans="1:10">
      <c r="A32" s="578"/>
      <c r="B32" s="126"/>
      <c r="C32" s="126"/>
      <c r="D32" s="126"/>
      <c r="E32" s="126"/>
      <c r="F32" s="126"/>
      <c r="G32" s="126"/>
      <c r="H32" s="126"/>
      <c r="I32" s="126"/>
      <c r="J32" s="579"/>
    </row>
    <row r="33" spans="1:10">
      <c r="A33" s="578"/>
      <c r="B33" s="126"/>
      <c r="C33" s="126"/>
      <c r="D33" s="126"/>
      <c r="E33" s="126"/>
      <c r="F33" s="126"/>
      <c r="G33" s="126"/>
      <c r="H33" s="126"/>
      <c r="I33" s="126"/>
      <c r="J33" s="579"/>
    </row>
    <row r="34" spans="1:10">
      <c r="A34" s="578"/>
      <c r="B34" s="126"/>
      <c r="C34" s="126"/>
      <c r="D34" s="126"/>
      <c r="E34" s="126"/>
      <c r="F34" s="126"/>
      <c r="G34" s="126"/>
      <c r="H34" s="126"/>
      <c r="I34" s="126"/>
      <c r="J34" s="579"/>
    </row>
    <row r="35" spans="1:10">
      <c r="A35" s="578"/>
      <c r="B35" s="126"/>
      <c r="C35" s="126"/>
      <c r="D35" s="126"/>
      <c r="E35" s="126"/>
      <c r="F35" s="126"/>
      <c r="G35" s="126"/>
      <c r="H35" s="126"/>
      <c r="I35" s="126"/>
      <c r="J35" s="579"/>
    </row>
    <row r="36" spans="1:10">
      <c r="A36" s="578"/>
      <c r="B36" s="126"/>
      <c r="C36" s="126"/>
      <c r="D36" s="126"/>
      <c r="E36" s="126"/>
      <c r="F36" s="126"/>
      <c r="G36" s="126"/>
      <c r="H36" s="126"/>
      <c r="I36" s="126"/>
      <c r="J36" s="579"/>
    </row>
    <row r="37" spans="1:10">
      <c r="A37" s="578"/>
      <c r="B37" s="126"/>
      <c r="C37" s="126"/>
      <c r="D37" s="126"/>
      <c r="E37" s="126"/>
      <c r="F37" s="126"/>
      <c r="G37" s="126"/>
      <c r="H37" s="126"/>
      <c r="I37" s="126"/>
      <c r="J37" s="579"/>
    </row>
    <row r="38" spans="1:10">
      <c r="A38" s="578"/>
      <c r="B38" s="126"/>
      <c r="C38" s="126"/>
      <c r="D38" s="126"/>
      <c r="E38" s="126"/>
      <c r="F38" s="126"/>
      <c r="G38" s="126"/>
      <c r="H38" s="126"/>
      <c r="I38" s="126"/>
      <c r="J38" s="579"/>
    </row>
    <row r="39" spans="1:10">
      <c r="A39" s="578"/>
      <c r="B39" s="126"/>
      <c r="C39" s="126"/>
      <c r="D39" s="126"/>
      <c r="E39" s="126"/>
      <c r="F39" s="126"/>
      <c r="G39" s="126"/>
      <c r="H39" s="126"/>
      <c r="I39" s="126"/>
      <c r="J39" s="579"/>
    </row>
    <row r="40" spans="1:10">
      <c r="A40" s="578"/>
      <c r="B40" s="126"/>
      <c r="C40" s="126"/>
      <c r="D40" s="126"/>
      <c r="E40" s="126"/>
      <c r="F40" s="126"/>
      <c r="G40" s="126"/>
      <c r="H40" s="126"/>
      <c r="I40" s="126"/>
      <c r="J40" s="579"/>
    </row>
    <row r="41" spans="1:10">
      <c r="A41" s="578"/>
      <c r="B41" s="126"/>
      <c r="C41" s="126"/>
      <c r="D41" s="126"/>
      <c r="E41" s="126"/>
      <c r="F41" s="126"/>
      <c r="G41" s="126"/>
      <c r="H41" s="126"/>
      <c r="I41" s="126"/>
      <c r="J41" s="579"/>
    </row>
    <row r="42" spans="1:10">
      <c r="A42" s="578"/>
      <c r="B42" s="126"/>
      <c r="C42" s="126"/>
      <c r="D42" s="126"/>
      <c r="E42" s="126"/>
      <c r="F42" s="126"/>
      <c r="G42" s="126"/>
      <c r="H42" s="126"/>
      <c r="I42" s="126"/>
      <c r="J42" s="579"/>
    </row>
    <row r="43" spans="1:10" ht="13.5" thickBot="1">
      <c r="A43" s="583"/>
      <c r="B43" s="584"/>
      <c r="C43" s="584"/>
      <c r="D43" s="584"/>
      <c r="E43" s="584"/>
      <c r="F43" s="584"/>
      <c r="G43" s="584"/>
      <c r="H43" s="584"/>
      <c r="I43" s="584"/>
      <c r="J43" s="585"/>
    </row>
    <row r="44" spans="1:10" ht="13.5" thickTop="1"/>
    <row r="125" spans="7:7">
      <c r="G125" s="577">
        <v>5253981.1399999997</v>
      </c>
    </row>
  </sheetData>
  <mergeCells count="2">
    <mergeCell ref="B6:I6"/>
    <mergeCell ref="B8:I8"/>
  </mergeCells>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30.xml><?xml version="1.0" encoding="utf-8"?>
<worksheet xmlns="http://schemas.openxmlformats.org/spreadsheetml/2006/main" xmlns:r="http://schemas.openxmlformats.org/officeDocument/2006/relationships">
  <sheetPr>
    <tabColor rgb="FF66FF66"/>
  </sheetPr>
  <dimension ref="A1:K89"/>
  <sheetViews>
    <sheetView view="pageBreakPreview" topLeftCell="A32" zoomScaleNormal="76" zoomScaleSheetLayoutView="100" workbookViewId="0">
      <selection activeCell="C43" activeCellId="1" sqref="E18 C43"/>
    </sheetView>
  </sheetViews>
  <sheetFormatPr defaultRowHeight="12.75"/>
  <cols>
    <col min="1" max="1" width="55.7109375" style="1293" customWidth="1"/>
    <col min="2" max="4" width="20.7109375" style="1293" customWidth="1"/>
    <col min="5" max="5" width="18.28515625" style="1367" bestFit="1" customWidth="1"/>
    <col min="6" max="6" width="19.85546875" style="1367" bestFit="1" customWidth="1"/>
    <col min="7" max="7" width="17.28515625" style="1367" bestFit="1" customWidth="1"/>
    <col min="8" max="8" width="15.140625" style="1367" customWidth="1"/>
    <col min="9" max="9" width="16.85546875" style="1367" bestFit="1" customWidth="1"/>
    <col min="10" max="10" width="14.85546875" style="1368" customWidth="1"/>
    <col min="11" max="11" width="16.85546875" style="1293" customWidth="1"/>
    <col min="12" max="16384" width="9.140625" style="1293"/>
  </cols>
  <sheetData>
    <row r="1" spans="1:11">
      <c r="A1" s="1795" t="s">
        <v>1899</v>
      </c>
      <c r="B1" s="1796"/>
      <c r="C1" s="1796"/>
      <c r="D1" s="1796"/>
      <c r="E1" s="1796"/>
      <c r="F1" s="1796"/>
      <c r="G1" s="1796"/>
      <c r="H1" s="1796"/>
      <c r="I1" s="1796"/>
      <c r="J1" s="1797"/>
    </row>
    <row r="2" spans="1:11">
      <c r="A2" s="1788" t="s">
        <v>1900</v>
      </c>
      <c r="B2" s="1789"/>
      <c r="C2" s="1789"/>
      <c r="D2" s="1789"/>
      <c r="E2" s="1789"/>
      <c r="F2" s="1789"/>
      <c r="G2" s="1789"/>
      <c r="H2" s="1789"/>
      <c r="I2" s="1789"/>
      <c r="J2" s="1790"/>
    </row>
    <row r="3" spans="1:11">
      <c r="A3" s="1788" t="s">
        <v>2078</v>
      </c>
      <c r="B3" s="1789"/>
      <c r="C3" s="1789"/>
      <c r="D3" s="1789"/>
      <c r="E3" s="1789"/>
      <c r="F3" s="1789"/>
      <c r="G3" s="1789"/>
      <c r="H3" s="1789"/>
      <c r="I3" s="1789"/>
      <c r="J3" s="1790"/>
    </row>
    <row r="4" spans="1:11">
      <c r="A4" s="1294"/>
      <c r="B4" s="1295"/>
      <c r="C4" s="1295"/>
      <c r="D4" s="1295"/>
      <c r="E4" s="1296"/>
      <c r="F4" s="1296"/>
      <c r="G4" s="1296"/>
      <c r="H4" s="1296"/>
      <c r="I4" s="1296"/>
      <c r="J4" s="1297"/>
    </row>
    <row r="5" spans="1:11" s="1299" customFormat="1" ht="51">
      <c r="A5" s="1798"/>
      <c r="B5" s="1240" t="s">
        <v>1880</v>
      </c>
      <c r="C5" s="1236" t="s">
        <v>1881</v>
      </c>
      <c r="D5" s="1240" t="s">
        <v>1882</v>
      </c>
      <c r="E5" s="61" t="s">
        <v>1901</v>
      </c>
      <c r="F5" s="61" t="s">
        <v>1902</v>
      </c>
      <c r="G5" s="61" t="s">
        <v>1903</v>
      </c>
      <c r="H5" s="61" t="s">
        <v>1704</v>
      </c>
      <c r="I5" s="61" t="s">
        <v>1904</v>
      </c>
      <c r="J5" s="1298" t="s">
        <v>1906</v>
      </c>
      <c r="K5" s="1299" t="s">
        <v>36</v>
      </c>
    </row>
    <row r="6" spans="1:11">
      <c r="A6" s="1799"/>
      <c r="B6" s="1241"/>
      <c r="C6" s="1241" t="s">
        <v>36</v>
      </c>
      <c r="D6" s="1241" t="s">
        <v>36</v>
      </c>
      <c r="E6" s="1300" t="s">
        <v>1314</v>
      </c>
      <c r="F6" s="1300" t="s">
        <v>1314</v>
      </c>
      <c r="G6" s="1300"/>
      <c r="H6" s="1300"/>
      <c r="I6" s="1300" t="s">
        <v>1287</v>
      </c>
      <c r="J6" s="1301"/>
    </row>
    <row r="7" spans="1:11" ht="15" customHeight="1">
      <c r="A7" s="1302" t="s">
        <v>707</v>
      </c>
      <c r="B7" s="58"/>
      <c r="C7" s="58"/>
      <c r="D7" s="58"/>
      <c r="E7" s="1303"/>
      <c r="F7" s="1303"/>
      <c r="G7" s="1303"/>
      <c r="H7" s="1303"/>
      <c r="I7" s="1304"/>
      <c r="J7" s="1305"/>
    </row>
    <row r="8" spans="1:11" ht="15" customHeight="1">
      <c r="A8" s="1306" t="s">
        <v>709</v>
      </c>
      <c r="B8" s="1303">
        <f>'WORK PAPER STATE COMPARITIVE'!D13</f>
        <v>-11278023</v>
      </c>
      <c r="C8" s="1303">
        <f>'WORK PAPER STATE COMPARITIVE'!E13</f>
        <v>-11276500</v>
      </c>
      <c r="D8" s="1307">
        <f>B8-C8</f>
        <v>-1523</v>
      </c>
      <c r="E8" s="1303">
        <f>'WORK PAPER STATE COMPARITIVE'!F13</f>
        <v>-11276500</v>
      </c>
      <c r="F8" s="1303">
        <f>'Appendix E(1)'!B8</f>
        <v>10452708.43</v>
      </c>
      <c r="G8" s="1308"/>
      <c r="H8" s="1308"/>
      <c r="I8" s="1309">
        <f>F8/E8</f>
        <v>-0.92694616503347671</v>
      </c>
      <c r="J8" s="1310">
        <f>F8/B8</f>
        <v>-0.92682098892687126</v>
      </c>
    </row>
    <row r="9" spans="1:11" ht="15" customHeight="1">
      <c r="A9" s="1306" t="s">
        <v>35</v>
      </c>
      <c r="B9" s="1303">
        <f>'WORK PAPER STATE COMPARITIVE'!D74</f>
        <v>-47865442</v>
      </c>
      <c r="C9" s="1303">
        <f>'WORK PAPER STATE COMPARITIVE'!E74</f>
        <v>-56758345</v>
      </c>
      <c r="D9" s="1307">
        <f t="shared" ref="D9:D25" si="0">B9-C9</f>
        <v>8892903</v>
      </c>
      <c r="E9" s="1303">
        <f>'WORK PAPER STATE COMPARITIVE'!F74</f>
        <v>-56758345</v>
      </c>
      <c r="F9" s="1303">
        <f>'Appendix E(1)'!B9</f>
        <v>53828928.350000001</v>
      </c>
      <c r="G9" s="1308"/>
      <c r="H9" s="1308"/>
      <c r="I9" s="1309">
        <f t="shared" ref="I9:I24" si="1">F9/E9</f>
        <v>-0.94838791282585855</v>
      </c>
      <c r="J9" s="1311">
        <f t="shared" ref="J9:J26" si="2">F9/B9</f>
        <v>-1.1245885570219951</v>
      </c>
    </row>
    <row r="10" spans="1:11" ht="15" customHeight="1">
      <c r="A10" s="1306" t="s">
        <v>1723</v>
      </c>
      <c r="B10" s="1303">
        <f>'WORK PAPER STATE COMPARITIVE'!D77</f>
        <v>0</v>
      </c>
      <c r="C10" s="1303">
        <f>'WORK PAPER STATE COMPARITIVE'!E77</f>
        <v>0</v>
      </c>
      <c r="D10" s="1307">
        <f t="shared" si="0"/>
        <v>0</v>
      </c>
      <c r="E10" s="1303">
        <f>'WORK PAPER STATE COMPARITIVE'!F77</f>
        <v>0</v>
      </c>
      <c r="F10" s="1303">
        <f>'Appendix E(1)'!B10</f>
        <v>943941.6399999999</v>
      </c>
      <c r="G10" s="1308"/>
      <c r="H10" s="1308"/>
      <c r="I10" s="1309"/>
      <c r="J10" s="1311"/>
    </row>
    <row r="11" spans="1:11" ht="15" customHeight="1">
      <c r="A11" s="1306" t="s">
        <v>1244</v>
      </c>
      <c r="B11" s="1303">
        <f>'WORK PAPER STATE COMPARITIVE'!D58</f>
        <v>-5036296</v>
      </c>
      <c r="C11" s="1303">
        <f>'WORK PAPER STATE COMPARITIVE'!E58</f>
        <v>-6629126</v>
      </c>
      <c r="D11" s="1307">
        <f t="shared" si="0"/>
        <v>1592830</v>
      </c>
      <c r="E11" s="1303">
        <f>'WORK PAPER STATE COMPARITIVE'!F58</f>
        <v>-6629126</v>
      </c>
      <c r="F11" s="1303">
        <f>'Appendix E(1)'!B11</f>
        <v>6029938.0300000003</v>
      </c>
      <c r="G11" s="1308"/>
      <c r="H11" s="1308"/>
      <c r="I11" s="1309">
        <f t="shared" si="1"/>
        <v>-0.90961282528043674</v>
      </c>
      <c r="J11" s="1311">
        <f t="shared" si="2"/>
        <v>-1.1972961934723456</v>
      </c>
    </row>
    <row r="12" spans="1:11" ht="15" hidden="1" customHeight="1">
      <c r="A12" s="1306" t="s">
        <v>713</v>
      </c>
      <c r="B12" s="1303">
        <v>0</v>
      </c>
      <c r="C12" s="1303">
        <v>0</v>
      </c>
      <c r="D12" s="1307">
        <f t="shared" si="0"/>
        <v>0</v>
      </c>
      <c r="E12" s="1303">
        <v>0</v>
      </c>
      <c r="F12" s="1303">
        <v>0</v>
      </c>
      <c r="G12" s="1308"/>
      <c r="H12" s="1308"/>
      <c r="I12" s="1309" t="e">
        <f t="shared" si="1"/>
        <v>#DIV/0!</v>
      </c>
      <c r="J12" s="1311" t="e">
        <f t="shared" si="2"/>
        <v>#DIV/0!</v>
      </c>
    </row>
    <row r="13" spans="1:11" ht="15" hidden="1" customHeight="1">
      <c r="A13" s="1306" t="s">
        <v>714</v>
      </c>
      <c r="B13" s="1303">
        <v>0</v>
      </c>
      <c r="C13" s="1303">
        <v>0</v>
      </c>
      <c r="D13" s="1307">
        <f t="shared" si="0"/>
        <v>0</v>
      </c>
      <c r="E13" s="1303">
        <v>0</v>
      </c>
      <c r="F13" s="1303">
        <v>0</v>
      </c>
      <c r="G13" s="1308"/>
      <c r="H13" s="1308"/>
      <c r="I13" s="1309" t="e">
        <f t="shared" si="1"/>
        <v>#DIV/0!</v>
      </c>
      <c r="J13" s="1311" t="e">
        <f t="shared" si="2"/>
        <v>#DIV/0!</v>
      </c>
    </row>
    <row r="14" spans="1:11" ht="15" customHeight="1">
      <c r="A14" s="1306" t="s">
        <v>715</v>
      </c>
      <c r="B14" s="1303">
        <f>'WORK PAPER STATE COMPARITIVE'!D64</f>
        <v>-330025</v>
      </c>
      <c r="C14" s="1303">
        <f>'WORK PAPER STATE COMPARITIVE'!E64</f>
        <v>-272986</v>
      </c>
      <c r="D14" s="1307">
        <f t="shared" si="0"/>
        <v>-57039</v>
      </c>
      <c r="E14" s="1303">
        <f>'WORK PAPER STATE COMPARITIVE'!F64</f>
        <v>-272986</v>
      </c>
      <c r="F14" s="1303">
        <f>'Appendix E(1)'!B14</f>
        <v>995265.42</v>
      </c>
      <c r="G14" s="1308"/>
      <c r="H14" s="1308"/>
      <c r="I14" s="1309">
        <f t="shared" si="1"/>
        <v>-3.6458478456770678</v>
      </c>
      <c r="J14" s="1311">
        <f t="shared" si="2"/>
        <v>-3.0157273539883342</v>
      </c>
    </row>
    <row r="15" spans="1:11" ht="15" customHeight="1">
      <c r="A15" s="1306" t="s">
        <v>716</v>
      </c>
      <c r="B15" s="1303">
        <f>'WORK PAPER STATE COMPARITIVE'!D49</f>
        <v>0</v>
      </c>
      <c r="C15" s="1303">
        <f>'WORK PAPER STATE COMPARITIVE'!E49</f>
        <v>-27986</v>
      </c>
      <c r="D15" s="1307">
        <f t="shared" si="0"/>
        <v>27986</v>
      </c>
      <c r="E15" s="1303">
        <f>'WORK PAPER STATE COMPARITIVE'!F49</f>
        <v>-27986</v>
      </c>
      <c r="F15" s="1303">
        <f>'Appendix E(1)'!B15</f>
        <v>169601.98</v>
      </c>
      <c r="G15" s="1308"/>
      <c r="H15" s="1308"/>
      <c r="I15" s="1309">
        <f t="shared" si="1"/>
        <v>-6.0602436932752095</v>
      </c>
      <c r="J15" s="1311" t="e">
        <f t="shared" si="2"/>
        <v>#DIV/0!</v>
      </c>
    </row>
    <row r="16" spans="1:11" ht="15" customHeight="1">
      <c r="A16" s="1306" t="s">
        <v>717</v>
      </c>
      <c r="B16" s="1303">
        <f>'WORK PAPER STATE COMPARITIVE'!D52</f>
        <v>-838587</v>
      </c>
      <c r="C16" s="1303">
        <f>'WORK PAPER STATE COMPARITIVE'!E52</f>
        <v>-1403564</v>
      </c>
      <c r="D16" s="1307">
        <f t="shared" si="0"/>
        <v>564977</v>
      </c>
      <c r="E16" s="1303">
        <f>'WORK PAPER STATE COMPARITIVE'!F52</f>
        <v>-1403564</v>
      </c>
      <c r="F16" s="1303">
        <f>'Appendix E(1)'!B16</f>
        <v>1447504.56</v>
      </c>
      <c r="G16" s="1308"/>
      <c r="H16" s="1308"/>
      <c r="I16" s="1309">
        <f t="shared" si="1"/>
        <v>-1.0313064170924875</v>
      </c>
      <c r="J16" s="1311">
        <f t="shared" si="2"/>
        <v>-1.7261233002658043</v>
      </c>
    </row>
    <row r="17" spans="1:11" ht="15" customHeight="1">
      <c r="A17" s="1306" t="s">
        <v>718</v>
      </c>
      <c r="B17" s="1303">
        <f>'WORK PAPER STATE COMPARITIVE'!D83</f>
        <v>-12000000</v>
      </c>
      <c r="C17" s="1303">
        <f>'WORK PAPER STATE COMPARITIVE'!E83</f>
        <v>-2000000</v>
      </c>
      <c r="D17" s="1307">
        <f t="shared" si="0"/>
        <v>-10000000</v>
      </c>
      <c r="E17" s="1303">
        <f>'WORK PAPER STATE COMPARITIVE'!F83</f>
        <v>-2000000</v>
      </c>
      <c r="F17" s="1303">
        <f>'Appendix E(1)'!B17</f>
        <v>1302820</v>
      </c>
      <c r="G17" s="1308"/>
      <c r="H17" s="1308"/>
      <c r="I17" s="1309">
        <f t="shared" si="1"/>
        <v>-0.65141000000000004</v>
      </c>
      <c r="J17" s="1311">
        <f t="shared" si="2"/>
        <v>-0.10856833333333334</v>
      </c>
    </row>
    <row r="18" spans="1:11" ht="15" customHeight="1">
      <c r="A18" s="1306" t="s">
        <v>37</v>
      </c>
      <c r="B18" s="1303">
        <f>'WORK PAPER STATE COMPARITIVE'!D80</f>
        <v>-1616846</v>
      </c>
      <c r="C18" s="1303">
        <f>'WORK PAPER STATE COMPARITIVE'!E80</f>
        <v>-1485284</v>
      </c>
      <c r="D18" s="1307">
        <f t="shared" si="0"/>
        <v>-131562</v>
      </c>
      <c r="E18" s="1303">
        <f>'WORK PAPER STATE COMPARITIVE'!F80</f>
        <v>-1485284</v>
      </c>
      <c r="F18" s="1303">
        <f>'Appendix E(1)'!B18</f>
        <v>2361495.7999999998</v>
      </c>
      <c r="G18" s="1308"/>
      <c r="H18" s="1308"/>
      <c r="I18" s="1309">
        <f t="shared" si="1"/>
        <v>-1.5899287947624829</v>
      </c>
      <c r="J18" s="1311">
        <f t="shared" si="2"/>
        <v>-1.4605570351165169</v>
      </c>
    </row>
    <row r="19" spans="1:11" ht="15" hidden="1" customHeight="1">
      <c r="A19" s="1306" t="s">
        <v>38</v>
      </c>
      <c r="B19" s="1303">
        <v>0</v>
      </c>
      <c r="C19" s="1303">
        <v>0</v>
      </c>
      <c r="D19" s="1307">
        <f t="shared" si="0"/>
        <v>0</v>
      </c>
      <c r="E19" s="1303">
        <v>0</v>
      </c>
      <c r="F19" s="1303">
        <f>'Appendix E(1)'!B19</f>
        <v>0</v>
      </c>
      <c r="G19" s="1308"/>
      <c r="H19" s="1308"/>
      <c r="I19" s="1309" t="e">
        <f t="shared" si="1"/>
        <v>#DIV/0!</v>
      </c>
      <c r="J19" s="1311" t="e">
        <f t="shared" si="2"/>
        <v>#DIV/0!</v>
      </c>
    </row>
    <row r="20" spans="1:11" ht="15" customHeight="1">
      <c r="A20" s="1306" t="s">
        <v>39</v>
      </c>
      <c r="B20" s="1303">
        <f>'WORK PAPER STATE COMPARITIVE'!D37</f>
        <v>-27795000</v>
      </c>
      <c r="C20" s="1303">
        <f>'WORK PAPER STATE COMPARITIVE'!E37</f>
        <v>-27795000</v>
      </c>
      <c r="D20" s="1307">
        <f t="shared" si="0"/>
        <v>0</v>
      </c>
      <c r="E20" s="1303">
        <f>'WORK PAPER STATE COMPARITIVE'!F37</f>
        <v>-27795000</v>
      </c>
      <c r="F20" s="1303">
        <f>'Appendix E(1)'!B20</f>
        <v>27795257</v>
      </c>
      <c r="G20" s="1308"/>
      <c r="H20" s="1308"/>
      <c r="I20" s="1309">
        <f t="shared" si="1"/>
        <v>-1.0000092462673142</v>
      </c>
      <c r="J20" s="1311">
        <f t="shared" si="2"/>
        <v>-1.0000092462673142</v>
      </c>
    </row>
    <row r="21" spans="1:11" ht="15" customHeight="1">
      <c r="A21" s="1306" t="s">
        <v>40</v>
      </c>
      <c r="B21" s="1303">
        <f>'WORK PAPER STATE COMPARITIVE'!D41</f>
        <v>-10101000</v>
      </c>
      <c r="C21" s="1303">
        <f>'WORK PAPER STATE COMPARITIVE'!E41</f>
        <v>-10010000</v>
      </c>
      <c r="D21" s="1307">
        <f t="shared" si="0"/>
        <v>-91000</v>
      </c>
      <c r="E21" s="1303">
        <f>'WORK PAPER STATE COMPARITIVE'!F41</f>
        <v>-10010000</v>
      </c>
      <c r="F21" s="1303">
        <f>'Appendix E(1)'!B21</f>
        <v>8552027.7699999996</v>
      </c>
      <c r="G21" s="1308"/>
      <c r="H21" s="1308"/>
      <c r="I21" s="1309">
        <f t="shared" si="1"/>
        <v>-0.85434842857142856</v>
      </c>
      <c r="J21" s="1311">
        <f t="shared" si="2"/>
        <v>-0.84665159588159589</v>
      </c>
    </row>
    <row r="22" spans="1:11" ht="15" customHeight="1">
      <c r="A22" s="1306" t="s">
        <v>1722</v>
      </c>
      <c r="B22" s="1303">
        <f>'WORK PAPER STATE COMPARITIVE'!D45</f>
        <v>0</v>
      </c>
      <c r="C22" s="1303">
        <f>'WORK PAPER STATE COMPARITIVE'!E45</f>
        <v>0</v>
      </c>
      <c r="D22" s="1307">
        <f t="shared" si="0"/>
        <v>0</v>
      </c>
      <c r="E22" s="1303">
        <f>'WORK PAPER STATE COMPARITIVE'!F45</f>
        <v>0</v>
      </c>
      <c r="F22" s="1303">
        <f>'Appendix E(1)'!B22</f>
        <v>2921572.99</v>
      </c>
      <c r="G22" s="1308"/>
      <c r="H22" s="1308"/>
      <c r="I22" s="1309"/>
      <c r="J22" s="1311"/>
    </row>
    <row r="23" spans="1:11" ht="15" hidden="1" customHeight="1">
      <c r="A23" s="1306" t="s">
        <v>722</v>
      </c>
      <c r="B23" s="1303">
        <v>0</v>
      </c>
      <c r="C23" s="1303">
        <v>0</v>
      </c>
      <c r="D23" s="1307">
        <f t="shared" si="0"/>
        <v>0</v>
      </c>
      <c r="E23" s="1303">
        <v>0</v>
      </c>
      <c r="F23" s="1303">
        <v>0</v>
      </c>
      <c r="G23" s="1308"/>
      <c r="H23" s="1308"/>
      <c r="I23" s="1309" t="e">
        <f t="shared" si="1"/>
        <v>#DIV/0!</v>
      </c>
      <c r="J23" s="1311" t="e">
        <f t="shared" si="2"/>
        <v>#DIV/0!</v>
      </c>
    </row>
    <row r="24" spans="1:11" ht="15" customHeight="1">
      <c r="A24" s="1306" t="s">
        <v>723</v>
      </c>
      <c r="B24" s="1303">
        <f>'WORK PAPER STATE COMPARITIVE'!D27+'WORK PAPER STATE COMPARITIVE'!D55</f>
        <v>-18090251</v>
      </c>
      <c r="C24" s="1303">
        <f>'WORK PAPER STATE COMPARITIVE'!E27+'WORK PAPER STATE COMPARITIVE'!E55</f>
        <v>-12385038</v>
      </c>
      <c r="D24" s="1307">
        <f t="shared" si="0"/>
        <v>-5705213</v>
      </c>
      <c r="E24" s="1303">
        <f>'WORK PAPER STATE COMPARITIVE'!F27+'WORK PAPER STATE COMPARITIVE'!F55</f>
        <v>-12385038</v>
      </c>
      <c r="F24" s="1303">
        <f>'Appendix E(1)'!B24</f>
        <v>14208326.180000002</v>
      </c>
      <c r="G24" s="1308"/>
      <c r="H24" s="1308"/>
      <c r="I24" s="1309">
        <f t="shared" si="1"/>
        <v>-1.1472170032905835</v>
      </c>
      <c r="J24" s="1311">
        <f t="shared" si="2"/>
        <v>-0.78541343511485839</v>
      </c>
    </row>
    <row r="25" spans="1:11" ht="15" customHeight="1">
      <c r="A25" s="1306" t="s">
        <v>1038</v>
      </c>
      <c r="B25" s="1303">
        <v>0</v>
      </c>
      <c r="C25" s="1303">
        <v>0</v>
      </c>
      <c r="D25" s="1307">
        <f t="shared" si="0"/>
        <v>0</v>
      </c>
      <c r="E25" s="1303">
        <v>0</v>
      </c>
      <c r="F25" s="1303">
        <f>'Appendix E(1)'!B25</f>
        <v>158500</v>
      </c>
      <c r="G25" s="1308"/>
      <c r="H25" s="1308"/>
      <c r="I25" s="1309"/>
      <c r="J25" s="1311"/>
    </row>
    <row r="26" spans="1:11" ht="15" customHeight="1">
      <c r="A26" s="1312" t="s">
        <v>724</v>
      </c>
      <c r="B26" s="1313">
        <f t="shared" ref="B26:H26" si="3">SUM(B8:B25)</f>
        <v>-134951470</v>
      </c>
      <c r="C26" s="1313">
        <f t="shared" si="3"/>
        <v>-130043829</v>
      </c>
      <c r="D26" s="1313">
        <f t="shared" si="3"/>
        <v>-4907641</v>
      </c>
      <c r="E26" s="1314">
        <f t="shared" si="3"/>
        <v>-130043829</v>
      </c>
      <c r="F26" s="1314">
        <f t="shared" si="3"/>
        <v>131167888.15000001</v>
      </c>
      <c r="G26" s="1314">
        <f t="shared" si="3"/>
        <v>0</v>
      </c>
      <c r="H26" s="1314">
        <f t="shared" si="3"/>
        <v>0</v>
      </c>
      <c r="I26" s="1315">
        <f>F26/E26*100</f>
        <v>-100.8643694657745</v>
      </c>
      <c r="J26" s="1316">
        <f t="shared" si="2"/>
        <v>-0.97196338913536851</v>
      </c>
    </row>
    <row r="27" spans="1:11">
      <c r="A27" s="1317"/>
      <c r="B27" s="1290"/>
      <c r="C27" s="1290"/>
      <c r="D27" s="1290"/>
      <c r="E27" s="1318"/>
      <c r="F27" s="1318"/>
      <c r="G27" s="1318"/>
      <c r="H27" s="1318"/>
      <c r="I27" s="1318"/>
      <c r="J27" s="1319"/>
      <c r="K27" s="1320"/>
    </row>
    <row r="28" spans="1:11">
      <c r="A28" s="1788" t="s">
        <v>1899</v>
      </c>
      <c r="B28" s="1789"/>
      <c r="C28" s="1789"/>
      <c r="D28" s="1789"/>
      <c r="E28" s="1789"/>
      <c r="F28" s="1789"/>
      <c r="G28" s="1789"/>
      <c r="H28" s="1789"/>
      <c r="I28" s="1789"/>
      <c r="J28" s="1790"/>
    </row>
    <row r="29" spans="1:11">
      <c r="A29" s="1788" t="s">
        <v>1900</v>
      </c>
      <c r="B29" s="1789"/>
      <c r="C29" s="1789"/>
      <c r="D29" s="1789"/>
      <c r="E29" s="1789"/>
      <c r="F29" s="1789"/>
      <c r="G29" s="1789"/>
      <c r="H29" s="1789"/>
      <c r="I29" s="1789"/>
      <c r="J29" s="1790"/>
    </row>
    <row r="30" spans="1:11">
      <c r="A30" s="1788" t="s">
        <v>2078</v>
      </c>
      <c r="B30" s="1789"/>
      <c r="C30" s="1789"/>
      <c r="D30" s="1789"/>
      <c r="E30" s="1789"/>
      <c r="F30" s="1789"/>
      <c r="G30" s="1789"/>
      <c r="H30" s="1789"/>
      <c r="I30" s="1789"/>
      <c r="J30" s="1790"/>
    </row>
    <row r="31" spans="1:11">
      <c r="A31" s="1791"/>
      <c r="B31" s="1792"/>
      <c r="C31" s="1792"/>
      <c r="D31" s="1792"/>
      <c r="E31" s="1295"/>
      <c r="F31" s="1295"/>
      <c r="G31" s="1295"/>
      <c r="H31" s="1295"/>
      <c r="I31" s="1295"/>
      <c r="J31" s="1321"/>
      <c r="K31" s="1322"/>
    </row>
    <row r="32" spans="1:11" ht="51">
      <c r="A32" s="1793"/>
      <c r="B32" s="1240" t="s">
        <v>1880</v>
      </c>
      <c r="C32" s="1236" t="s">
        <v>1881</v>
      </c>
      <c r="D32" s="1240" t="s">
        <v>1882</v>
      </c>
      <c r="E32" s="61" t="s">
        <v>1901</v>
      </c>
      <c r="F32" s="61" t="s">
        <v>1902</v>
      </c>
      <c r="G32" s="61" t="s">
        <v>1903</v>
      </c>
      <c r="H32" s="61" t="s">
        <v>1704</v>
      </c>
      <c r="I32" s="61" t="s">
        <v>1904</v>
      </c>
      <c r="J32" s="1298" t="s">
        <v>1906</v>
      </c>
    </row>
    <row r="33" spans="1:10">
      <c r="A33" s="1794"/>
      <c r="B33" s="1241"/>
      <c r="C33" s="1241"/>
      <c r="D33" s="1241"/>
      <c r="E33" s="1241" t="s">
        <v>1314</v>
      </c>
      <c r="F33" s="1241" t="s">
        <v>1314</v>
      </c>
      <c r="G33" s="1241"/>
      <c r="H33" s="1323"/>
      <c r="I33" s="1241" t="s">
        <v>1287</v>
      </c>
      <c r="J33" s="1301"/>
    </row>
    <row r="34" spans="1:10" ht="15" customHeight="1">
      <c r="A34" s="1302" t="s">
        <v>725</v>
      </c>
      <c r="B34" s="58"/>
      <c r="C34" s="58"/>
      <c r="D34" s="58"/>
      <c r="E34" s="1324"/>
      <c r="F34" s="1324"/>
      <c r="G34" s="1324"/>
      <c r="H34" s="1275"/>
      <c r="I34" s="60"/>
      <c r="J34" s="1325"/>
    </row>
    <row r="35" spans="1:10" ht="15" customHeight="1">
      <c r="A35" s="1306" t="s">
        <v>524</v>
      </c>
      <c r="B35" s="1303">
        <f>'WORK PAPER STATE COMPARITIVE'!D264</f>
        <v>41828879</v>
      </c>
      <c r="C35" s="1303">
        <f>'WORK PAPER STATE COMPARITIVE'!E264</f>
        <v>41828892</v>
      </c>
      <c r="D35" s="1307">
        <f t="shared" ref="D35:D49" si="4">B35-C35</f>
        <v>-13</v>
      </c>
      <c r="E35" s="1303">
        <f>'WORK PAPER STATE COMPARITIVE'!F264</f>
        <v>32479757</v>
      </c>
      <c r="F35" s="1303">
        <f>'Appendix E(1)'!B35</f>
        <v>32475978.98</v>
      </c>
      <c r="G35" s="1308"/>
      <c r="H35" s="1309"/>
      <c r="I35" s="1309">
        <f>F35/E35</f>
        <v>0.99988368078000089</v>
      </c>
      <c r="J35" s="1305">
        <f t="shared" ref="J35:J51" si="5">F35/B35</f>
        <v>0.77640089231174469</v>
      </c>
    </row>
    <row r="36" spans="1:10" ht="15" customHeight="1">
      <c r="A36" s="1306" t="s">
        <v>726</v>
      </c>
      <c r="B36" s="1303">
        <f>'WORK PAPER STATE COMPARITIVE'!D276</f>
        <v>2767948</v>
      </c>
      <c r="C36" s="1303">
        <f>'WORK PAPER STATE COMPARITIVE'!E276</f>
        <v>2767948</v>
      </c>
      <c r="D36" s="1307">
        <f t="shared" si="4"/>
        <v>0</v>
      </c>
      <c r="E36" s="1303">
        <f>'WORK PAPER STATE COMPARITIVE'!F276</f>
        <v>2971922</v>
      </c>
      <c r="F36" s="1303">
        <f>'Appendix E(1)'!B36</f>
        <v>2975719.25</v>
      </c>
      <c r="G36" s="1303"/>
      <c r="H36" s="1304"/>
      <c r="I36" s="1304">
        <f t="shared" ref="I36:I51" si="6">F36/E36</f>
        <v>1.001277708499752</v>
      </c>
      <c r="J36" s="1305">
        <f t="shared" si="5"/>
        <v>1.0750632779228511</v>
      </c>
    </row>
    <row r="37" spans="1:10" ht="15" customHeight="1">
      <c r="A37" s="1306" t="s">
        <v>727</v>
      </c>
      <c r="B37" s="1303">
        <f>'WORK PAPER STATE COMPARITIVE'!D289</f>
        <v>13125982</v>
      </c>
      <c r="C37" s="1303">
        <f>'WORK PAPER STATE COMPARITIVE'!E289</f>
        <v>1136072</v>
      </c>
      <c r="D37" s="1307">
        <f t="shared" si="4"/>
        <v>11989910</v>
      </c>
      <c r="E37" s="1303">
        <f>'WORK PAPER STATE COMPARITIVE'!F289</f>
        <v>1136072</v>
      </c>
      <c r="F37" s="1303">
        <f>'Appendix E(1)'!B37</f>
        <v>3646241.45</v>
      </c>
      <c r="G37" s="1303"/>
      <c r="H37" s="1304"/>
      <c r="I37" s="1304">
        <f t="shared" si="6"/>
        <v>3.2095161662289011</v>
      </c>
      <c r="J37" s="1305">
        <f t="shared" si="5"/>
        <v>0.27778808854072784</v>
      </c>
    </row>
    <row r="38" spans="1:10" ht="15" customHeight="1">
      <c r="A38" s="1306" t="s">
        <v>728</v>
      </c>
      <c r="B38" s="1303">
        <f>'WORK PAPER STATE COMPARITIVE'!D293</f>
        <v>0</v>
      </c>
      <c r="C38" s="1303">
        <f>'WORK PAPER STATE COMPARITIVE'!E293</f>
        <v>0</v>
      </c>
      <c r="D38" s="1307">
        <f t="shared" si="4"/>
        <v>0</v>
      </c>
      <c r="E38" s="1303">
        <f>'WORK PAPER STATE COMPARITIVE'!F293</f>
        <v>19277</v>
      </c>
      <c r="F38" s="1303">
        <f>'Appendix E(1)'!B38</f>
        <v>16527.14</v>
      </c>
      <c r="G38" s="1303"/>
      <c r="H38" s="1304"/>
      <c r="I38" s="1304">
        <f t="shared" si="6"/>
        <v>0.85735021009493173</v>
      </c>
      <c r="J38" s="1305"/>
    </row>
    <row r="39" spans="1:10" ht="15" customHeight="1">
      <c r="A39" s="1306" t="s">
        <v>729</v>
      </c>
      <c r="B39" s="1303">
        <f>'WORK PAPER STATE COMPARITIVE'!D284</f>
        <v>6425680</v>
      </c>
      <c r="C39" s="1303">
        <f>'WORK PAPER STATE COMPARITIVE'!E284</f>
        <v>6425680</v>
      </c>
      <c r="D39" s="1307">
        <f t="shared" si="4"/>
        <v>0</v>
      </c>
      <c r="E39" s="1303">
        <f>'WORK PAPER STATE COMPARITIVE'!F284</f>
        <v>6425680</v>
      </c>
      <c r="F39" s="1303">
        <f>'Appendix E(1)'!B39</f>
        <v>7137211.4399999995</v>
      </c>
      <c r="G39" s="1308"/>
      <c r="H39" s="1309">
        <f>-G39/E39</f>
        <v>0</v>
      </c>
      <c r="I39" s="1309">
        <f t="shared" si="6"/>
        <v>1.1107324734502806</v>
      </c>
      <c r="J39" s="1305">
        <f t="shared" si="5"/>
        <v>1.1107324734502806</v>
      </c>
    </row>
    <row r="40" spans="1:10" ht="15" customHeight="1">
      <c r="A40" s="1306" t="s">
        <v>1040</v>
      </c>
      <c r="B40" s="1303">
        <f>'WORK PAPER STATE COMPARITIVE'!D337</f>
        <v>20126963</v>
      </c>
      <c r="C40" s="1303">
        <f>'WORK PAPER STATE COMPARITIVE'!E337</f>
        <v>8099323</v>
      </c>
      <c r="D40" s="1307">
        <f t="shared" si="4"/>
        <v>12027640</v>
      </c>
      <c r="E40" s="1303">
        <f>'WORK PAPER STATE COMPARITIVE'!F337</f>
        <v>4246938</v>
      </c>
      <c r="F40" s="1303">
        <f>'Appendix E(1)'!B40</f>
        <v>4422976.5100000007</v>
      </c>
      <c r="G40" s="1303"/>
      <c r="H40" s="1304"/>
      <c r="I40" s="1304">
        <f t="shared" si="6"/>
        <v>1.0414506898852776</v>
      </c>
      <c r="J40" s="1305">
        <f t="shared" si="5"/>
        <v>0.21975379544345566</v>
      </c>
    </row>
    <row r="41" spans="1:10" ht="15" customHeight="1">
      <c r="A41" s="1306" t="s">
        <v>1041</v>
      </c>
      <c r="B41" s="1303">
        <f>'WORK PAPER STATE COMPARITIVE'!D364</f>
        <v>1135663</v>
      </c>
      <c r="C41" s="1303">
        <f>'WORK PAPER STATE COMPARITIVE'!E364</f>
        <v>1535663</v>
      </c>
      <c r="D41" s="1307">
        <f t="shared" si="4"/>
        <v>-400000</v>
      </c>
      <c r="E41" s="1303">
        <f>'WORK PAPER STATE COMPARITIVE'!F364</f>
        <v>1535663</v>
      </c>
      <c r="F41" s="1303">
        <f>'Appendix E(1)'!B41</f>
        <v>1606744.2</v>
      </c>
      <c r="G41" s="1303"/>
      <c r="H41" s="1304"/>
      <c r="I41" s="1304">
        <f t="shared" si="6"/>
        <v>1.0462869783279274</v>
      </c>
      <c r="J41" s="1305">
        <f t="shared" si="5"/>
        <v>1.4148072095331097</v>
      </c>
    </row>
    <row r="42" spans="1:10" ht="15" customHeight="1">
      <c r="A42" s="1306" t="s">
        <v>1042</v>
      </c>
      <c r="B42" s="1303">
        <f>'WORK PAPER STATE COMPARITIVE'!D342</f>
        <v>24387977</v>
      </c>
      <c r="C42" s="1303">
        <f>'WORK PAPER STATE COMPARITIVE'!E342</f>
        <v>34787977</v>
      </c>
      <c r="D42" s="1307">
        <f t="shared" si="4"/>
        <v>-10400000</v>
      </c>
      <c r="E42" s="1303">
        <f>'WORK PAPER STATE COMPARITIVE'!F342</f>
        <v>37018982</v>
      </c>
      <c r="F42" s="1303">
        <f>'Appendix E(1)'!B42</f>
        <v>30105151.129999999</v>
      </c>
      <c r="G42" s="1303">
        <v>0</v>
      </c>
      <c r="H42" s="1309">
        <f>-G42/E42</f>
        <v>0</v>
      </c>
      <c r="I42" s="1304">
        <f t="shared" si="6"/>
        <v>0.81323552144140532</v>
      </c>
      <c r="J42" s="1305">
        <f t="shared" si="5"/>
        <v>1.2344259275789868</v>
      </c>
    </row>
    <row r="43" spans="1:10" ht="15" customHeight="1">
      <c r="A43" s="1306" t="s">
        <v>1568</v>
      </c>
      <c r="B43" s="1303">
        <v>0</v>
      </c>
      <c r="C43" s="1303">
        <v>0</v>
      </c>
      <c r="D43" s="1307"/>
      <c r="E43" s="1303">
        <v>0</v>
      </c>
      <c r="F43" s="1303"/>
      <c r="G43" s="1303"/>
      <c r="H43" s="1309"/>
      <c r="I43" s="1304"/>
      <c r="J43" s="1305"/>
    </row>
    <row r="44" spans="1:10" ht="15" customHeight="1">
      <c r="A44" s="1306" t="s">
        <v>732</v>
      </c>
      <c r="B44" s="1303">
        <f>'WORK PAPER STATE COMPARITIVE'!D346</f>
        <v>3000000</v>
      </c>
      <c r="C44" s="1303">
        <f>'WORK PAPER STATE COMPARITIVE'!E346</f>
        <v>3000000</v>
      </c>
      <c r="D44" s="1307">
        <f t="shared" si="4"/>
        <v>0</v>
      </c>
      <c r="E44" s="1303">
        <f>'WORK PAPER STATE COMPARITIVE'!F346</f>
        <v>2290430</v>
      </c>
      <c r="F44" s="1303">
        <f>'Appendix E(1)'!B44</f>
        <v>2290430.41</v>
      </c>
      <c r="G44" s="1303"/>
      <c r="H44" s="1304"/>
      <c r="I44" s="1304">
        <f t="shared" si="6"/>
        <v>1.0000001790056889</v>
      </c>
      <c r="J44" s="1305">
        <f t="shared" si="5"/>
        <v>0.76347680333333334</v>
      </c>
    </row>
    <row r="45" spans="1:10" ht="15" customHeight="1">
      <c r="A45" s="1306" t="s">
        <v>1043</v>
      </c>
      <c r="B45" s="1303">
        <f>'WORK PAPER STATE COMPARITIVE'!D350</f>
        <v>0</v>
      </c>
      <c r="C45" s="1303">
        <f>'WORK PAPER STATE COMPARITIVE'!E350</f>
        <v>0</v>
      </c>
      <c r="D45" s="1307">
        <f t="shared" si="4"/>
        <v>0</v>
      </c>
      <c r="E45" s="1303">
        <f>'WORK PAPER STATE COMPARITIVE'!F354</f>
        <v>3750000</v>
      </c>
      <c r="F45" s="1303">
        <f>'Appendix E(1)'!B45</f>
        <v>3750000</v>
      </c>
      <c r="G45" s="1303"/>
      <c r="H45" s="1304"/>
      <c r="I45" s="1304">
        <f t="shared" si="6"/>
        <v>1</v>
      </c>
      <c r="J45" s="1305"/>
    </row>
    <row r="46" spans="1:10" ht="15" customHeight="1">
      <c r="A46" s="1306" t="s">
        <v>1044</v>
      </c>
      <c r="B46" s="1303">
        <f>'WORK PAPER STATE COMPARITIVE'!D592</f>
        <v>22261827</v>
      </c>
      <c r="C46" s="1303">
        <f>'WORK PAPER STATE COMPARITIVE'!E592</f>
        <v>22181831</v>
      </c>
      <c r="D46" s="1307">
        <f t="shared" si="4"/>
        <v>79996</v>
      </c>
      <c r="E46" s="1303">
        <f>'WORK PAPER STATE COMPARITIVE'!F592</f>
        <v>31884775</v>
      </c>
      <c r="F46" s="1303">
        <f>'Appendix E(1)'!B46</f>
        <v>26955894.380000003</v>
      </c>
      <c r="G46" s="1303"/>
      <c r="H46" s="1304"/>
      <c r="I46" s="1304">
        <f t="shared" si="6"/>
        <v>0.84541585694112642</v>
      </c>
      <c r="J46" s="1305">
        <f t="shared" si="5"/>
        <v>1.2108572391655008</v>
      </c>
    </row>
    <row r="47" spans="1:10" ht="15" customHeight="1">
      <c r="A47" s="1306" t="s">
        <v>1045</v>
      </c>
      <c r="B47" s="1303">
        <v>0</v>
      </c>
      <c r="C47" s="1303">
        <v>0</v>
      </c>
      <c r="D47" s="1307">
        <f t="shared" si="4"/>
        <v>0</v>
      </c>
      <c r="E47" s="1303">
        <v>0</v>
      </c>
      <c r="F47" s="1303">
        <f>'Appendix E(1)'!B47</f>
        <v>1932.0300000000279</v>
      </c>
      <c r="G47" s="1303">
        <f t="shared" ref="G47" si="7">E47-F47</f>
        <v>-1932.0300000000279</v>
      </c>
      <c r="H47" s="1304"/>
      <c r="I47" s="1304"/>
      <c r="J47" s="1305"/>
    </row>
    <row r="48" spans="1:10" ht="15" customHeight="1">
      <c r="A48" s="1306" t="s">
        <v>1737</v>
      </c>
      <c r="B48" s="1303">
        <v>0</v>
      </c>
      <c r="C48" s="1303">
        <v>0</v>
      </c>
      <c r="D48" s="1307">
        <f t="shared" si="4"/>
        <v>0</v>
      </c>
      <c r="E48" s="1303">
        <v>0</v>
      </c>
      <c r="F48" s="1303">
        <f>'Appendix E(1)'!B48</f>
        <v>419890.57</v>
      </c>
      <c r="G48" s="1303"/>
      <c r="H48" s="1304"/>
      <c r="I48" s="1304"/>
      <c r="J48" s="1305"/>
    </row>
    <row r="49" spans="1:10" ht="15" customHeight="1">
      <c r="A49" s="1306" t="s">
        <v>1046</v>
      </c>
      <c r="B49" s="1303">
        <f>'WORK PAPER STATE COMPARITIVE'!D369</f>
        <v>4358362</v>
      </c>
      <c r="C49" s="1303">
        <f>'WORK PAPER STATE COMPARITIVE'!E369</f>
        <v>4358362</v>
      </c>
      <c r="D49" s="1307">
        <f t="shared" si="4"/>
        <v>0</v>
      </c>
      <c r="E49" s="1303">
        <f>'WORK PAPER STATE COMPARITIVE'!F369</f>
        <v>2362252</v>
      </c>
      <c r="F49" s="1303">
        <f>'Appendix E(1)'!B49</f>
        <v>164865</v>
      </c>
      <c r="G49" s="1303">
        <v>0</v>
      </c>
      <c r="H49" s="1304">
        <f>-G49/E49</f>
        <v>0</v>
      </c>
      <c r="I49" s="1304">
        <f t="shared" si="6"/>
        <v>6.9791453240382481E-2</v>
      </c>
      <c r="J49" s="1305">
        <f t="shared" si="5"/>
        <v>3.7827284654188893E-2</v>
      </c>
    </row>
    <row r="50" spans="1:10" ht="15" customHeight="1">
      <c r="A50" s="1302" t="s">
        <v>1380</v>
      </c>
      <c r="B50" s="1326">
        <f>SUM(B34:B49)</f>
        <v>139419281</v>
      </c>
      <c r="C50" s="1327">
        <f>SUM(C35:C49)</f>
        <v>126121748</v>
      </c>
      <c r="D50" s="1326"/>
      <c r="E50" s="1314">
        <f>SUM(E35:E49)</f>
        <v>126121748</v>
      </c>
      <c r="F50" s="1314">
        <f>SUM(F35:F49)</f>
        <v>115969562.49000001</v>
      </c>
      <c r="G50" s="1314">
        <f>SUM(G35:G49)</f>
        <v>-1932.0300000000279</v>
      </c>
      <c r="H50" s="1314">
        <f>SUM(H35:H49)</f>
        <v>0</v>
      </c>
      <c r="I50" s="1328">
        <f t="shared" si="6"/>
        <v>0.9195048778581788</v>
      </c>
      <c r="J50" s="1329">
        <f t="shared" si="5"/>
        <v>0.83180433623094074</v>
      </c>
    </row>
    <row r="51" spans="1:10" ht="15" customHeight="1">
      <c r="A51" s="1312" t="s">
        <v>1381</v>
      </c>
      <c r="B51" s="1314">
        <f>B26-B50</f>
        <v>-274370751</v>
      </c>
      <c r="C51" s="1314">
        <f>C26-C50</f>
        <v>-256165577</v>
      </c>
      <c r="D51" s="1314">
        <f>D26-D50</f>
        <v>-4907641</v>
      </c>
      <c r="E51" s="1314">
        <f>E26-E50</f>
        <v>-256165577</v>
      </c>
      <c r="F51" s="1314">
        <f>F26-F50</f>
        <v>15198325.659999996</v>
      </c>
      <c r="G51" s="1314"/>
      <c r="H51" s="1314"/>
      <c r="I51" s="1328">
        <f t="shared" si="6"/>
        <v>-5.933008579056661E-2</v>
      </c>
      <c r="J51" s="1329">
        <f t="shared" si="5"/>
        <v>-5.5393388707092893E-2</v>
      </c>
    </row>
    <row r="52" spans="1:10" ht="15" customHeight="1">
      <c r="A52" s="1330" t="s">
        <v>2304</v>
      </c>
      <c r="B52" s="1347"/>
      <c r="C52" s="1347"/>
      <c r="D52" s="1331"/>
      <c r="E52" s="1332"/>
      <c r="F52" s="1332"/>
      <c r="G52" s="1332"/>
      <c r="H52" s="1332"/>
      <c r="I52" s="1332"/>
      <c r="J52" s="1333"/>
    </row>
    <row r="53" spans="1:10" ht="15" customHeight="1">
      <c r="A53" s="1330" t="s">
        <v>2305</v>
      </c>
      <c r="B53" s="1353"/>
      <c r="C53" s="1353"/>
      <c r="D53" s="1334"/>
      <c r="E53" s="1335"/>
      <c r="F53" s="1336"/>
      <c r="G53" s="1335"/>
      <c r="H53" s="1335"/>
      <c r="I53" s="1335"/>
      <c r="J53" s="1337"/>
    </row>
    <row r="54" spans="1:10" ht="15" customHeight="1">
      <c r="A54" s="438" t="s">
        <v>2306</v>
      </c>
      <c r="B54" s="1338">
        <f>SUM(B52:B53)</f>
        <v>0</v>
      </c>
      <c r="C54" s="1338">
        <f>SUM(C52:C53)</f>
        <v>0</v>
      </c>
      <c r="D54" s="1339"/>
      <c r="E54" s="1340"/>
      <c r="F54" s="1341"/>
      <c r="G54" s="1340"/>
      <c r="H54" s="1340"/>
      <c r="I54" s="1340"/>
      <c r="J54" s="1342"/>
    </row>
    <row r="55" spans="1:10" ht="15" customHeight="1">
      <c r="A55" s="1330" t="s">
        <v>2307</v>
      </c>
      <c r="B55" s="1345"/>
      <c r="C55" s="1345"/>
      <c r="D55" s="1339"/>
      <c r="E55" s="1340"/>
      <c r="F55" s="1341"/>
      <c r="G55" s="1340"/>
      <c r="H55" s="1340"/>
      <c r="I55" s="1340"/>
      <c r="J55" s="1342"/>
    </row>
    <row r="56" spans="1:10" ht="15" customHeight="1">
      <c r="A56" s="438" t="s">
        <v>2308</v>
      </c>
      <c r="B56" s="1338">
        <f>SUM(B54:B55)</f>
        <v>0</v>
      </c>
      <c r="C56" s="1338">
        <f t="shared" ref="C56" si="8">SUM(C54:C55)</f>
        <v>0</v>
      </c>
      <c r="D56" s="1339"/>
      <c r="E56" s="1343"/>
      <c r="F56" s="1341"/>
      <c r="G56" s="1340"/>
      <c r="H56" s="1340"/>
      <c r="I56" s="1340"/>
      <c r="J56" s="1342"/>
    </row>
    <row r="57" spans="1:10" ht="15" customHeight="1">
      <c r="A57" s="1344"/>
      <c r="B57" s="1345"/>
      <c r="C57" s="1345"/>
      <c r="D57" s="1331"/>
      <c r="E57" s="1332"/>
      <c r="F57" s="1346"/>
      <c r="G57" s="1332"/>
      <c r="H57" s="1332"/>
      <c r="I57" s="1332"/>
      <c r="J57" s="1333"/>
    </row>
    <row r="58" spans="1:10" ht="15" customHeight="1">
      <c r="A58" s="439" t="s">
        <v>2309</v>
      </c>
      <c r="B58" s="1347"/>
      <c r="C58" s="1347"/>
      <c r="D58" s="1348"/>
      <c r="E58" s="1349"/>
      <c r="F58" s="1350"/>
      <c r="G58" s="1349"/>
      <c r="H58" s="1349"/>
      <c r="I58" s="1349"/>
      <c r="J58" s="1351"/>
    </row>
    <row r="59" spans="1:10" ht="15" customHeight="1">
      <c r="A59" s="438" t="s">
        <v>2310</v>
      </c>
      <c r="B59" s="1347"/>
      <c r="C59" s="1347"/>
      <c r="D59" s="1348"/>
      <c r="E59" s="1349"/>
      <c r="F59" s="1350"/>
      <c r="G59" s="1349"/>
      <c r="H59" s="1349"/>
      <c r="I59" s="1349"/>
      <c r="J59" s="1351"/>
    </row>
    <row r="60" spans="1:10" ht="15" customHeight="1">
      <c r="A60" s="1330" t="s">
        <v>2304</v>
      </c>
      <c r="B60" s="1347"/>
      <c r="C60" s="1347"/>
      <c r="D60" s="1348"/>
      <c r="E60" s="1349"/>
      <c r="F60" s="1350"/>
      <c r="G60" s="1349"/>
      <c r="H60" s="1349"/>
      <c r="I60" s="1349"/>
      <c r="J60" s="1351"/>
    </row>
    <row r="61" spans="1:10" ht="15" customHeight="1">
      <c r="A61" s="1330" t="s">
        <v>2311</v>
      </c>
      <c r="B61" s="1347"/>
      <c r="C61" s="1347"/>
      <c r="D61" s="1348"/>
      <c r="E61" s="1349"/>
      <c r="F61" s="1350"/>
      <c r="G61" s="1349"/>
      <c r="H61" s="1349"/>
      <c r="I61" s="1349"/>
      <c r="J61" s="1351"/>
    </row>
    <row r="62" spans="1:10" ht="15" customHeight="1">
      <c r="A62" s="1330" t="s">
        <v>2312</v>
      </c>
      <c r="B62" s="1347"/>
      <c r="C62" s="1347"/>
      <c r="D62" s="1348"/>
      <c r="E62" s="1349"/>
      <c r="F62" s="1350"/>
      <c r="G62" s="1349"/>
      <c r="H62" s="1349"/>
      <c r="I62" s="1349"/>
      <c r="J62" s="1351"/>
    </row>
    <row r="63" spans="1:10" ht="15" customHeight="1">
      <c r="A63" s="1330" t="s">
        <v>2313</v>
      </c>
      <c r="B63" s="1347"/>
      <c r="C63" s="1347"/>
      <c r="D63" s="1334"/>
      <c r="E63" s="1335"/>
      <c r="F63" s="1336"/>
      <c r="G63" s="1335"/>
      <c r="H63" s="1335"/>
      <c r="I63" s="1335"/>
      <c r="J63" s="1337"/>
    </row>
    <row r="64" spans="1:10" ht="15" customHeight="1">
      <c r="A64" s="438" t="s">
        <v>2314</v>
      </c>
      <c r="B64" s="1338">
        <f>SUM(B57:B63)</f>
        <v>0</v>
      </c>
      <c r="C64" s="1338">
        <f t="shared" ref="C64" si="9">SUM(C57:C63)</f>
        <v>0</v>
      </c>
      <c r="D64" s="1339"/>
      <c r="E64" s="1340"/>
      <c r="F64" s="1341"/>
      <c r="G64" s="1340"/>
      <c r="H64" s="1340"/>
      <c r="I64" s="1340"/>
      <c r="J64" s="1342"/>
    </row>
    <row r="65" spans="1:10" ht="15" customHeight="1">
      <c r="A65" s="1352"/>
      <c r="B65" s="1353"/>
      <c r="C65" s="1353"/>
      <c r="D65" s="1339"/>
      <c r="E65" s="1340"/>
      <c r="F65" s="1341"/>
      <c r="G65" s="1340"/>
      <c r="H65" s="1340"/>
      <c r="I65" s="1340"/>
      <c r="J65" s="1342"/>
    </row>
    <row r="66" spans="1:10" ht="15" customHeight="1">
      <c r="A66" s="1344"/>
      <c r="B66" s="1347"/>
      <c r="C66" s="1347"/>
      <c r="D66" s="1331"/>
      <c r="E66" s="1332"/>
      <c r="F66" s="1346"/>
      <c r="G66" s="1332"/>
      <c r="H66" s="1332"/>
      <c r="I66" s="1332"/>
      <c r="J66" s="1333"/>
    </row>
    <row r="67" spans="1:10" ht="15" customHeight="1">
      <c r="A67" s="439" t="s">
        <v>2315</v>
      </c>
      <c r="B67" s="1347"/>
      <c r="C67" s="1347"/>
      <c r="D67" s="1348"/>
      <c r="E67" s="1349"/>
      <c r="F67" s="1350"/>
      <c r="G67" s="1349"/>
      <c r="H67" s="1349"/>
      <c r="I67" s="1349"/>
      <c r="J67" s="1351"/>
    </row>
    <row r="68" spans="1:10" ht="15" customHeight="1">
      <c r="A68" s="1330" t="s">
        <v>2316</v>
      </c>
      <c r="B68" s="1347"/>
      <c r="C68" s="1347"/>
      <c r="D68" s="1348"/>
      <c r="E68" s="1349"/>
      <c r="F68" s="1350"/>
      <c r="G68" s="1349"/>
      <c r="H68" s="1349"/>
      <c r="I68" s="1349"/>
      <c r="J68" s="1351"/>
    </row>
    <row r="69" spans="1:10" ht="15" customHeight="1">
      <c r="A69" s="1330" t="s">
        <v>2317</v>
      </c>
      <c r="B69" s="1347"/>
      <c r="C69" s="1347"/>
      <c r="D69" s="1348"/>
      <c r="E69" s="1349"/>
      <c r="F69" s="1349"/>
      <c r="G69" s="1349"/>
      <c r="H69" s="1349"/>
      <c r="I69" s="1349"/>
      <c r="J69" s="1351"/>
    </row>
    <row r="70" spans="1:10" ht="15" customHeight="1">
      <c r="A70" s="1330" t="s">
        <v>2318</v>
      </c>
      <c r="B70" s="1347"/>
      <c r="C70" s="1347"/>
      <c r="D70" s="1334"/>
      <c r="E70" s="1335"/>
      <c r="F70" s="1335"/>
      <c r="G70" s="1335"/>
      <c r="H70" s="1335"/>
      <c r="I70" s="1335"/>
      <c r="J70" s="1337"/>
    </row>
    <row r="71" spans="1:10" ht="15" customHeight="1">
      <c r="A71" s="438" t="s">
        <v>2319</v>
      </c>
      <c r="B71" s="1338">
        <f>SUM(B68:B70)</f>
        <v>0</v>
      </c>
      <c r="C71" s="1338">
        <f t="shared" ref="C71" si="10">SUM(C68:C70)</f>
        <v>0</v>
      </c>
      <c r="D71" s="1339"/>
      <c r="E71" s="1340"/>
      <c r="F71" s="1340"/>
      <c r="G71" s="1340"/>
      <c r="H71" s="1340"/>
      <c r="I71" s="1340"/>
      <c r="J71" s="1342"/>
    </row>
    <row r="72" spans="1:10" ht="15" customHeight="1">
      <c r="A72" s="440"/>
      <c r="B72" s="1353"/>
      <c r="C72" s="1353"/>
      <c r="D72" s="1339"/>
      <c r="E72" s="1340"/>
      <c r="F72" s="1340"/>
      <c r="G72" s="1340"/>
      <c r="H72" s="1340"/>
      <c r="I72" s="1354"/>
      <c r="J72" s="1355"/>
    </row>
    <row r="73" spans="1:10" ht="15" customHeight="1">
      <c r="A73" s="1356"/>
      <c r="B73" s="1357"/>
      <c r="C73" s="1357"/>
      <c r="D73" s="1358"/>
      <c r="E73" s="1359"/>
      <c r="F73" s="1359"/>
      <c r="G73" s="1359"/>
      <c r="H73" s="1359"/>
      <c r="I73" s="1359"/>
      <c r="J73" s="1351"/>
    </row>
    <row r="74" spans="1:10" ht="15" customHeight="1">
      <c r="A74" s="1356"/>
      <c r="B74" s="1357"/>
      <c r="C74" s="1357"/>
      <c r="D74" s="1358"/>
      <c r="E74" s="1359"/>
      <c r="F74" s="1359"/>
      <c r="G74" s="1359"/>
      <c r="H74" s="1359"/>
      <c r="I74" s="1359"/>
      <c r="J74" s="1351"/>
    </row>
    <row r="75" spans="1:10" ht="30" customHeight="1">
      <c r="A75" s="441" t="s">
        <v>2320</v>
      </c>
      <c r="B75" s="1357"/>
      <c r="C75" s="1357"/>
      <c r="D75" s="1358"/>
      <c r="E75" s="1359"/>
      <c r="F75" s="1359"/>
      <c r="G75" s="1359"/>
      <c r="H75" s="1359"/>
      <c r="I75" s="1359"/>
      <c r="J75" s="1351"/>
    </row>
    <row r="76" spans="1:10" ht="38.25" customHeight="1">
      <c r="A76" s="442" t="s">
        <v>2321</v>
      </c>
      <c r="B76" s="435"/>
      <c r="C76" s="1357"/>
      <c r="D76" s="1358"/>
      <c r="E76" s="1359"/>
      <c r="F76" s="1359"/>
      <c r="G76" s="1359"/>
      <c r="H76" s="1359"/>
      <c r="I76" s="1359"/>
      <c r="J76" s="1351"/>
    </row>
    <row r="77" spans="1:10" ht="15" customHeight="1">
      <c r="A77" s="1356" t="s">
        <v>2322</v>
      </c>
      <c r="B77" s="1332">
        <f>'Statement of Financial Performa'!F60</f>
        <v>15198325.659999982</v>
      </c>
      <c r="C77" s="1357"/>
      <c r="D77" s="1358"/>
      <c r="E77" s="1359"/>
      <c r="F77" s="1359"/>
      <c r="G77" s="1359"/>
      <c r="H77" s="1359"/>
      <c r="I77" s="1359"/>
      <c r="J77" s="1351"/>
    </row>
    <row r="78" spans="1:10" ht="15" customHeight="1">
      <c r="A78" s="1356" t="s">
        <v>2323</v>
      </c>
      <c r="B78" s="1347"/>
      <c r="C78" s="1357"/>
      <c r="D78" s="1358"/>
      <c r="E78" s="1359"/>
      <c r="F78" s="1359"/>
      <c r="G78" s="1359"/>
      <c r="H78" s="1359"/>
      <c r="I78" s="1359"/>
      <c r="J78" s="1351"/>
    </row>
    <row r="79" spans="1:10" ht="15" customHeight="1">
      <c r="A79" s="1356" t="s">
        <v>2324</v>
      </c>
      <c r="B79" s="1345"/>
      <c r="C79" s="1357"/>
      <c r="D79" s="1358"/>
      <c r="E79" s="1359"/>
      <c r="F79" s="1359"/>
      <c r="G79" s="1359"/>
      <c r="H79" s="1359"/>
      <c r="I79" s="1359"/>
      <c r="J79" s="1351"/>
    </row>
    <row r="80" spans="1:10" ht="15" customHeight="1">
      <c r="A80" s="1356" t="s">
        <v>2325</v>
      </c>
      <c r="B80" s="1347"/>
      <c r="C80" s="1357"/>
      <c r="D80" s="1358"/>
      <c r="E80" s="1359"/>
      <c r="F80" s="1359"/>
      <c r="G80" s="1359"/>
      <c r="H80" s="1359"/>
      <c r="I80" s="1359"/>
      <c r="J80" s="1351"/>
    </row>
    <row r="81" spans="1:10" ht="15" customHeight="1">
      <c r="A81" s="1356" t="s">
        <v>2326</v>
      </c>
      <c r="B81" s="1347"/>
      <c r="C81" s="1357"/>
      <c r="D81" s="1358"/>
      <c r="E81" s="1359"/>
      <c r="F81" s="1359"/>
      <c r="G81" s="1359"/>
      <c r="H81" s="1359"/>
      <c r="I81" s="1359"/>
      <c r="J81" s="1351"/>
    </row>
    <row r="82" spans="1:10" ht="15" customHeight="1">
      <c r="A82" s="1356" t="s">
        <v>2327</v>
      </c>
      <c r="B82" s="1347"/>
      <c r="C82" s="1357"/>
      <c r="D82" s="1358"/>
      <c r="E82" s="1359"/>
      <c r="F82" s="1359"/>
      <c r="G82" s="1359"/>
      <c r="H82" s="1359"/>
      <c r="I82" s="1359"/>
      <c r="J82" s="1351"/>
    </row>
    <row r="83" spans="1:10" ht="15" customHeight="1">
      <c r="A83" s="443" t="s">
        <v>2328</v>
      </c>
      <c r="B83" s="1353"/>
      <c r="C83" s="1357"/>
      <c r="D83" s="1358"/>
      <c r="E83" s="1359"/>
      <c r="F83" s="1359"/>
      <c r="G83" s="1359"/>
      <c r="H83" s="1359"/>
      <c r="I83" s="1359"/>
      <c r="J83" s="1351"/>
    </row>
    <row r="84" spans="1:10" ht="15" customHeight="1">
      <c r="A84" s="443"/>
      <c r="B84" s="1347"/>
      <c r="C84" s="1357"/>
      <c r="D84" s="1358"/>
      <c r="E84" s="1359"/>
      <c r="F84" s="1359"/>
      <c r="G84" s="1359"/>
      <c r="H84" s="1359"/>
      <c r="I84" s="1359"/>
      <c r="J84" s="1351"/>
    </row>
    <row r="85" spans="1:10" ht="15" customHeight="1" thickBot="1">
      <c r="A85" s="444" t="s">
        <v>2329</v>
      </c>
      <c r="B85" s="1360"/>
      <c r="C85" s="1357"/>
      <c r="D85" s="1358"/>
      <c r="E85" s="1359"/>
      <c r="F85" s="1359"/>
      <c r="G85" s="1359"/>
      <c r="H85" s="1359"/>
      <c r="I85" s="1359"/>
      <c r="J85" s="1351"/>
    </row>
    <row r="86" spans="1:10" ht="15" customHeight="1" thickTop="1">
      <c r="A86" s="1361"/>
      <c r="B86" s="1353"/>
      <c r="C86" s="1357"/>
      <c r="D86" s="1358"/>
      <c r="E86" s="1359"/>
      <c r="F86" s="1359"/>
      <c r="G86" s="1359"/>
      <c r="H86" s="1359"/>
      <c r="I86" s="1359"/>
      <c r="J86" s="1351"/>
    </row>
    <row r="87" spans="1:10" ht="15" customHeight="1">
      <c r="A87" s="1362"/>
      <c r="B87" s="1358"/>
      <c r="C87" s="1358"/>
      <c r="D87" s="1358"/>
      <c r="E87" s="1359"/>
      <c r="F87" s="1359"/>
      <c r="G87" s="1359"/>
      <c r="H87" s="1359"/>
      <c r="I87" s="1359"/>
      <c r="J87" s="1351"/>
    </row>
    <row r="88" spans="1:10" ht="15" customHeight="1">
      <c r="A88" s="1362"/>
      <c r="B88" s="1358"/>
      <c r="C88" s="1358"/>
      <c r="D88" s="1358"/>
      <c r="E88" s="1359"/>
      <c r="F88" s="1359"/>
      <c r="G88" s="1359"/>
      <c r="H88" s="1359"/>
      <c r="I88" s="1359"/>
      <c r="J88" s="1351"/>
    </row>
    <row r="89" spans="1:10" ht="13.5" thickBot="1">
      <c r="A89" s="1363"/>
      <c r="B89" s="1364"/>
      <c r="C89" s="1364"/>
      <c r="D89" s="1364"/>
      <c r="E89" s="1365"/>
      <c r="F89" s="1365"/>
      <c r="G89" s="1365"/>
      <c r="H89" s="1365"/>
      <c r="I89" s="1365"/>
      <c r="J89" s="1366"/>
    </row>
  </sheetData>
  <mergeCells count="9">
    <mergeCell ref="A30:J30"/>
    <mergeCell ref="A31:D31"/>
    <mergeCell ref="A32:A33"/>
    <mergeCell ref="A1:J1"/>
    <mergeCell ref="A2:J2"/>
    <mergeCell ref="A3:J3"/>
    <mergeCell ref="A5:A6"/>
    <mergeCell ref="A28:J28"/>
    <mergeCell ref="A29:J29"/>
  </mergeCells>
  <pageMargins left="0.70866141732283472" right="0.70866141732283472" top="0.74803149606299213" bottom="0.74803149606299213" header="0.31496062992125984" footer="0.31496062992125984"/>
  <pageSetup paperSize="9" scale="59" fitToHeight="2" orientation="landscape" r:id="rId1"/>
  <headerFooter>
    <oddFooter>&amp;R&amp;P</oddFooter>
  </headerFooter>
  <rowBreaks count="2" manualBreakCount="2">
    <brk id="27" max="9" man="1"/>
    <brk id="74" max="9" man="1"/>
  </rowBreaks>
</worksheet>
</file>

<file path=xl/worksheets/sheet31.xml><?xml version="1.0" encoding="utf-8"?>
<worksheet xmlns="http://schemas.openxmlformats.org/spreadsheetml/2006/main" xmlns:r="http://schemas.openxmlformats.org/officeDocument/2006/relationships">
  <sheetPr>
    <pageSetUpPr fitToPage="1"/>
  </sheetPr>
  <dimension ref="A1:I35"/>
  <sheetViews>
    <sheetView view="pageBreakPreview" zoomScaleSheetLayoutView="100" workbookViewId="0">
      <selection activeCell="C43" activeCellId="1" sqref="E18 C43"/>
    </sheetView>
  </sheetViews>
  <sheetFormatPr defaultRowHeight="12.75"/>
  <cols>
    <col min="1" max="1" width="32.28515625" style="508" bestFit="1" customWidth="1"/>
    <col min="2" max="2" width="11.42578125" style="508" bestFit="1" customWidth="1"/>
    <col min="3" max="3" width="12.5703125" style="508" bestFit="1" customWidth="1"/>
    <col min="4" max="4" width="14" style="508" bestFit="1" customWidth="1"/>
    <col min="5" max="5" width="15.140625" style="508" bestFit="1" customWidth="1"/>
    <col min="6" max="6" width="16.28515625" style="508" bestFit="1" customWidth="1"/>
    <col min="7" max="7" width="11.28515625" style="508" bestFit="1" customWidth="1"/>
    <col min="8" max="8" width="41.85546875" style="508" customWidth="1"/>
    <col min="9" max="16384" width="9.140625" style="508"/>
  </cols>
  <sheetData>
    <row r="1" spans="1:9">
      <c r="A1" s="1800" t="s">
        <v>1344</v>
      </c>
      <c r="B1" s="1800"/>
      <c r="C1" s="1800"/>
      <c r="D1" s="1800"/>
      <c r="E1" s="1800"/>
      <c r="F1" s="1800"/>
      <c r="G1" s="1800"/>
      <c r="H1" s="1800"/>
    </row>
    <row r="2" spans="1:9" ht="12.75" customHeight="1">
      <c r="A2" s="1800" t="s">
        <v>1048</v>
      </c>
      <c r="B2" s="1800"/>
      <c r="C2" s="1800"/>
      <c r="D2" s="1800"/>
      <c r="E2" s="1800"/>
      <c r="F2" s="1800"/>
      <c r="G2" s="1800"/>
      <c r="H2" s="1800"/>
    </row>
    <row r="3" spans="1:9" ht="12.75" customHeight="1">
      <c r="A3" s="1800" t="s">
        <v>1049</v>
      </c>
      <c r="B3" s="1800"/>
      <c r="C3" s="1800"/>
      <c r="D3" s="1800"/>
      <c r="E3" s="1800"/>
      <c r="F3" s="1800"/>
      <c r="G3" s="1800"/>
      <c r="H3" s="1800"/>
      <c r="I3" s="508" t="s">
        <v>1468</v>
      </c>
    </row>
    <row r="4" spans="1:9">
      <c r="A4" s="1800" t="s">
        <v>2078</v>
      </c>
      <c r="B4" s="1800"/>
      <c r="C4" s="1800"/>
      <c r="D4" s="1800"/>
      <c r="E4" s="1800"/>
      <c r="F4" s="1800"/>
      <c r="G4" s="1800"/>
      <c r="H4" s="1800"/>
    </row>
    <row r="5" spans="1:9">
      <c r="A5" s="682"/>
      <c r="B5" s="682"/>
      <c r="C5" s="682"/>
      <c r="D5" s="682"/>
      <c r="E5" s="682"/>
      <c r="F5" s="682"/>
      <c r="G5" s="682"/>
      <c r="H5" s="682"/>
    </row>
    <row r="6" spans="1:9">
      <c r="A6" s="1801"/>
      <c r="B6" s="1203">
        <v>2011</v>
      </c>
      <c r="C6" s="1203">
        <v>2011</v>
      </c>
      <c r="D6" s="1203">
        <v>2011</v>
      </c>
      <c r="E6" s="1203">
        <v>2011</v>
      </c>
      <c r="F6" s="1203">
        <v>2011</v>
      </c>
      <c r="G6" s="1203">
        <v>2011</v>
      </c>
      <c r="H6" s="306"/>
    </row>
    <row r="7" spans="1:9" s="822" customFormat="1" ht="25.5">
      <c r="A7" s="1802"/>
      <c r="B7" s="307" t="s">
        <v>708</v>
      </c>
      <c r="C7" s="307" t="s">
        <v>626</v>
      </c>
      <c r="D7" s="307" t="s">
        <v>1050</v>
      </c>
      <c r="E7" s="307" t="s">
        <v>490</v>
      </c>
      <c r="F7" s="307" t="s">
        <v>1704</v>
      </c>
      <c r="G7" s="307" t="s">
        <v>1704</v>
      </c>
      <c r="H7" s="307" t="s">
        <v>1051</v>
      </c>
    </row>
    <row r="8" spans="1:9">
      <c r="A8" s="1803"/>
      <c r="B8" s="308" t="s">
        <v>1314</v>
      </c>
      <c r="C8" s="308" t="s">
        <v>1314</v>
      </c>
      <c r="D8" s="308" t="s">
        <v>1314</v>
      </c>
      <c r="E8" s="308" t="s">
        <v>1314</v>
      </c>
      <c r="F8" s="308" t="s">
        <v>1314</v>
      </c>
      <c r="G8" s="308" t="s">
        <v>1287</v>
      </c>
      <c r="H8" s="823"/>
      <c r="I8" s="824"/>
    </row>
    <row r="9" spans="1:9">
      <c r="A9" s="58" t="s">
        <v>1052</v>
      </c>
      <c r="B9" s="59">
        <f>B10</f>
        <v>2589570.2400000002</v>
      </c>
      <c r="C9" s="59">
        <f>C10</f>
        <v>0</v>
      </c>
      <c r="D9" s="59">
        <f>D10</f>
        <v>2589570.2400000002</v>
      </c>
      <c r="E9" s="59">
        <f>E10</f>
        <v>2192</v>
      </c>
      <c r="F9" s="59">
        <f>F10</f>
        <v>2587378.2400000002</v>
      </c>
      <c r="G9" s="825">
        <f>F9/E9*100</f>
        <v>118037.32846715329</v>
      </c>
      <c r="H9" s="826"/>
    </row>
    <row r="10" spans="1:9">
      <c r="A10" s="826" t="s">
        <v>799</v>
      </c>
      <c r="B10" s="778">
        <f>'Appendix C'!H9</f>
        <v>2589570.2400000002</v>
      </c>
      <c r="C10" s="778">
        <f>'Appendix C'!E8</f>
        <v>0</v>
      </c>
      <c r="D10" s="59">
        <f>C10+B10</f>
        <v>2589570.2400000002</v>
      </c>
      <c r="E10" s="778">
        <v>2192</v>
      </c>
      <c r="F10" s="778">
        <f>D10-E10</f>
        <v>2587378.2400000002</v>
      </c>
      <c r="G10" s="825"/>
      <c r="H10" s="826"/>
    </row>
    <row r="11" spans="1:9">
      <c r="A11" s="826"/>
      <c r="B11" s="778"/>
      <c r="C11" s="778"/>
      <c r="D11" s="778"/>
      <c r="E11" s="778"/>
      <c r="F11" s="778"/>
      <c r="G11" s="825"/>
      <c r="H11" s="826" t="s">
        <v>36</v>
      </c>
    </row>
    <row r="12" spans="1:9">
      <c r="A12" s="58" t="s">
        <v>632</v>
      </c>
      <c r="B12" s="59">
        <f>SUM(B13:B13)</f>
        <v>6437351.71</v>
      </c>
      <c r="C12" s="59">
        <f>SUM(C13:C13)</f>
        <v>0</v>
      </c>
      <c r="D12" s="59">
        <f>C12+B12</f>
        <v>6437351.71</v>
      </c>
      <c r="E12" s="59">
        <f>SUM(E13:E13)</f>
        <v>3978432</v>
      </c>
      <c r="F12" s="59">
        <f>SUM(F13:F13)</f>
        <v>2458919.71</v>
      </c>
      <c r="G12" s="825">
        <f>F12/E12*100</f>
        <v>61.806252061113518</v>
      </c>
      <c r="H12" s="826" t="s">
        <v>36</v>
      </c>
    </row>
    <row r="13" spans="1:9">
      <c r="A13" s="826" t="s">
        <v>803</v>
      </c>
      <c r="B13" s="778">
        <f>'Appendix C'!H10</f>
        <v>6437351.71</v>
      </c>
      <c r="C13" s="778">
        <f>'Appendix C'!E10</f>
        <v>0</v>
      </c>
      <c r="D13" s="59">
        <f t="shared" ref="D13:D19" si="0">C13+B13</f>
        <v>6437351.71</v>
      </c>
      <c r="E13" s="778">
        <f>3978432</f>
        <v>3978432</v>
      </c>
      <c r="F13" s="778">
        <f>D13-E13</f>
        <v>2458919.71</v>
      </c>
      <c r="G13" s="825" t="s">
        <v>36</v>
      </c>
      <c r="H13" s="826"/>
    </row>
    <row r="14" spans="1:9">
      <c r="A14" s="826"/>
      <c r="B14" s="778"/>
      <c r="C14" s="778"/>
      <c r="D14" s="59">
        <f t="shared" si="0"/>
        <v>0</v>
      </c>
      <c r="E14" s="778"/>
      <c r="F14" s="778"/>
      <c r="G14" s="825"/>
      <c r="H14" s="826" t="s">
        <v>36</v>
      </c>
    </row>
    <row r="15" spans="1:9">
      <c r="A15" s="58" t="s">
        <v>787</v>
      </c>
      <c r="B15" s="59">
        <f>B16</f>
        <v>0</v>
      </c>
      <c r="C15" s="59">
        <f>C16</f>
        <v>0</v>
      </c>
      <c r="D15" s="59">
        <f t="shared" si="0"/>
        <v>0</v>
      </c>
      <c r="E15" s="59">
        <f>SUM(E16)</f>
        <v>0</v>
      </c>
      <c r="F15" s="59">
        <f>F16</f>
        <v>0</v>
      </c>
      <c r="G15" s="825">
        <v>0</v>
      </c>
      <c r="H15" s="826" t="s">
        <v>36</v>
      </c>
    </row>
    <row r="16" spans="1:9">
      <c r="A16" s="826" t="s">
        <v>1373</v>
      </c>
      <c r="B16" s="778">
        <f>'Appendix C'!C48</f>
        <v>0</v>
      </c>
      <c r="C16" s="778">
        <f>'Appendix C'!E24</f>
        <v>0</v>
      </c>
      <c r="D16" s="59">
        <f t="shared" si="0"/>
        <v>0</v>
      </c>
      <c r="E16" s="778">
        <v>0</v>
      </c>
      <c r="F16" s="778">
        <f>D16-E16</f>
        <v>0</v>
      </c>
      <c r="G16" s="825"/>
      <c r="H16" s="826"/>
    </row>
    <row r="17" spans="1:8">
      <c r="A17" s="826"/>
      <c r="B17" s="778"/>
      <c r="C17" s="778"/>
      <c r="D17" s="59">
        <f t="shared" si="0"/>
        <v>0</v>
      </c>
      <c r="E17" s="778"/>
      <c r="F17" s="778"/>
      <c r="G17" s="825"/>
      <c r="H17" s="826" t="s">
        <v>36</v>
      </c>
    </row>
    <row r="18" spans="1:8">
      <c r="A18" s="58" t="s">
        <v>783</v>
      </c>
      <c r="B18" s="59">
        <f>SUM(B19:B19)</f>
        <v>10199.969999999999</v>
      </c>
      <c r="C18" s="59">
        <f>SUM(C19:C19)</f>
        <v>0</v>
      </c>
      <c r="D18" s="59">
        <f t="shared" si="0"/>
        <v>10199.969999999999</v>
      </c>
      <c r="E18" s="59">
        <f>SUM(E19:E19)</f>
        <v>10200</v>
      </c>
      <c r="F18" s="59">
        <f>SUM(F19:F19)</f>
        <v>-3.0000000000654836E-2</v>
      </c>
      <c r="G18" s="60">
        <f>F18/E18*100</f>
        <v>-2.941176470652435E-4</v>
      </c>
      <c r="H18" s="826" t="s">
        <v>36</v>
      </c>
    </row>
    <row r="19" spans="1:8">
      <c r="A19" s="826" t="s">
        <v>784</v>
      </c>
      <c r="B19" s="778">
        <f>'Appendix C'!H40</f>
        <v>10199.969999999999</v>
      </c>
      <c r="C19" s="778">
        <f>'Appendix C'!E27</f>
        <v>0</v>
      </c>
      <c r="D19" s="59">
        <f t="shared" si="0"/>
        <v>10199.969999999999</v>
      </c>
      <c r="E19" s="778">
        <v>10200</v>
      </c>
      <c r="F19" s="778">
        <f>D19-E19</f>
        <v>-3.0000000000654836E-2</v>
      </c>
      <c r="G19" s="825" t="s">
        <v>36</v>
      </c>
      <c r="H19" s="826" t="s">
        <v>36</v>
      </c>
    </row>
    <row r="20" spans="1:8">
      <c r="A20" s="826"/>
      <c r="B20" s="778"/>
      <c r="C20" s="778"/>
      <c r="D20" s="59"/>
      <c r="E20" s="778"/>
      <c r="F20" s="778"/>
      <c r="G20" s="825"/>
      <c r="H20" s="826"/>
    </row>
    <row r="21" spans="1:8">
      <c r="A21" s="826"/>
      <c r="B21" s="778"/>
      <c r="C21" s="778"/>
      <c r="D21" s="59"/>
      <c r="E21" s="778"/>
      <c r="F21" s="778"/>
      <c r="G21" s="825"/>
      <c r="H21" s="826"/>
    </row>
    <row r="22" spans="1:8">
      <c r="A22" s="58" t="s">
        <v>1529</v>
      </c>
      <c r="B22" s="59">
        <f>SUM(B23:B23)</f>
        <v>4389382.5599999996</v>
      </c>
      <c r="C22" s="59">
        <f>SUM(C23:C23)</f>
        <v>0</v>
      </c>
      <c r="D22" s="59">
        <f>SUM(D23:D23)</f>
        <v>4389382.5599999996</v>
      </c>
      <c r="E22" s="59">
        <f>SUM(E23:E23)</f>
        <v>7134380</v>
      </c>
      <c r="F22" s="59">
        <f>SUM(F23:F23)</f>
        <v>-2744997.4400000004</v>
      </c>
      <c r="G22" s="60">
        <f>F22/E22*100</f>
        <v>-38.475627034164148</v>
      </c>
      <c r="H22" s="827"/>
    </row>
    <row r="23" spans="1:8">
      <c r="A23" s="826" t="s">
        <v>814</v>
      </c>
      <c r="B23" s="778">
        <f>'Appendix C'!H44</f>
        <v>4389382.5599999996</v>
      </c>
      <c r="C23" s="778">
        <f>'Appendix C'!E39</f>
        <v>0</v>
      </c>
      <c r="D23" s="778">
        <f>C23+B23</f>
        <v>4389382.5599999996</v>
      </c>
      <c r="E23" s="778">
        <f>3852106+1239603+2042671</f>
        <v>7134380</v>
      </c>
      <c r="F23" s="778">
        <f>D23-E23</f>
        <v>-2744997.4400000004</v>
      </c>
      <c r="G23" s="825" t="s">
        <v>36</v>
      </c>
      <c r="H23" s="826"/>
    </row>
    <row r="24" spans="1:8">
      <c r="A24" s="826"/>
      <c r="B24" s="778"/>
      <c r="C24" s="778"/>
      <c r="D24" s="778"/>
      <c r="E24" s="778"/>
      <c r="F24" s="778"/>
      <c r="G24" s="825"/>
      <c r="H24" s="826" t="s">
        <v>36</v>
      </c>
    </row>
    <row r="25" spans="1:8">
      <c r="A25" s="58" t="s">
        <v>793</v>
      </c>
      <c r="B25" s="59">
        <f>B26+B27</f>
        <v>2597187.83</v>
      </c>
      <c r="C25" s="59">
        <f>C26+C27</f>
        <v>0</v>
      </c>
      <c r="D25" s="59">
        <f>D26+D27</f>
        <v>2597187.83</v>
      </c>
      <c r="E25" s="59">
        <f>SUM(E26)</f>
        <v>2597188</v>
      </c>
      <c r="F25" s="59">
        <f>D25-E25</f>
        <v>-0.16999999992549419</v>
      </c>
      <c r="G25" s="60">
        <f>F25/E25*100</f>
        <v>-6.5455407897115719E-6</v>
      </c>
      <c r="H25" s="58"/>
    </row>
    <row r="26" spans="1:8">
      <c r="A26" s="826" t="s">
        <v>1284</v>
      </c>
      <c r="B26" s="778">
        <f>'Appendix C'!H57</f>
        <v>2597187.83</v>
      </c>
      <c r="C26" s="778">
        <f>'Appendix C'!E57</f>
        <v>0</v>
      </c>
      <c r="D26" s="59">
        <f>C26+B26</f>
        <v>2597187.83</v>
      </c>
      <c r="E26" s="778">
        <v>2597188</v>
      </c>
      <c r="F26" s="778">
        <f>D26-E26</f>
        <v>-0.16999999992549419</v>
      </c>
      <c r="G26" s="825">
        <f>F26/E26*100</f>
        <v>-6.5455407897115719E-6</v>
      </c>
      <c r="H26" s="826" t="s">
        <v>36</v>
      </c>
    </row>
    <row r="27" spans="1:8">
      <c r="A27" s="826" t="s">
        <v>1285</v>
      </c>
      <c r="B27" s="778">
        <f>'Appendix C'!C58</f>
        <v>0</v>
      </c>
      <c r="C27" s="778">
        <f>'Appendix C'!E58</f>
        <v>0</v>
      </c>
      <c r="D27" s="778">
        <v>0</v>
      </c>
      <c r="E27" s="778">
        <f>'Appendix C'!AB58</f>
        <v>0</v>
      </c>
      <c r="F27" s="778">
        <f>D27-E27</f>
        <v>0</v>
      </c>
      <c r="G27" s="825" t="s">
        <v>36</v>
      </c>
      <c r="H27" s="826" t="s">
        <v>36</v>
      </c>
    </row>
    <row r="28" spans="1:8" ht="13.5" thickBot="1">
      <c r="A28" s="826"/>
      <c r="B28" s="828"/>
      <c r="C28" s="828"/>
      <c r="D28" s="828"/>
      <c r="E28" s="828"/>
      <c r="F28" s="828"/>
      <c r="G28" s="828"/>
      <c r="H28" s="826"/>
    </row>
    <row r="29" spans="1:8">
      <c r="A29" s="58" t="s">
        <v>1188</v>
      </c>
      <c r="B29" s="59">
        <f>B25+B22+B18+B15+B12+B9</f>
        <v>16023692.310000001</v>
      </c>
      <c r="C29" s="59">
        <f>C25+C22+C18+C15+C12+C9</f>
        <v>0</v>
      </c>
      <c r="D29" s="59">
        <f>D25+D22+D18+D15+D12+D9</f>
        <v>16023692.310000001</v>
      </c>
      <c r="E29" s="59">
        <f>E25+E22+E18+E15+E12+E9</f>
        <v>13722392</v>
      </c>
      <c r="F29" s="59">
        <f>F25+F22+F18+F15+F12+F9</f>
        <v>2301300.31</v>
      </c>
      <c r="G29" s="60">
        <f>F29/E29*100</f>
        <v>16.770402055268498</v>
      </c>
      <c r="H29" s="827"/>
    </row>
    <row r="30" spans="1:8">
      <c r="A30" s="829"/>
      <c r="B30" s="781"/>
      <c r="C30" s="781"/>
      <c r="D30" s="781"/>
      <c r="E30" s="781"/>
      <c r="F30" s="781"/>
      <c r="G30" s="781"/>
      <c r="H30" s="830"/>
    </row>
    <row r="31" spans="1:8">
      <c r="A31" s="831" t="s">
        <v>807</v>
      </c>
      <c r="B31" s="832">
        <v>0</v>
      </c>
      <c r="C31" s="832">
        <v>0</v>
      </c>
      <c r="D31" s="832">
        <f>SUM(B31:C31)</f>
        <v>0</v>
      </c>
      <c r="E31" s="832">
        <v>0</v>
      </c>
      <c r="F31" s="832">
        <f>D31-E31</f>
        <v>0</v>
      </c>
      <c r="G31" s="833">
        <v>0</v>
      </c>
      <c r="H31" s="831"/>
    </row>
    <row r="32" spans="1:8">
      <c r="A32" s="834"/>
      <c r="B32" s="835"/>
      <c r="C32" s="835"/>
      <c r="D32" s="835"/>
      <c r="E32" s="835"/>
      <c r="F32" s="835"/>
      <c r="G32" s="836"/>
      <c r="H32" s="837"/>
    </row>
    <row r="34" spans="4:4">
      <c r="D34" s="838"/>
    </row>
    <row r="35" spans="4:4">
      <c r="D35" s="838"/>
    </row>
  </sheetData>
  <mergeCells count="5">
    <mergeCell ref="A1:H1"/>
    <mergeCell ref="A2:H2"/>
    <mergeCell ref="A3:H3"/>
    <mergeCell ref="A4:H4"/>
    <mergeCell ref="A6:A8"/>
  </mergeCells>
  <phoneticPr fontId="0" type="noConversion"/>
  <printOptions horizontalCentered="1"/>
  <pageMargins left="0.6692913385826772" right="0.39370078740157483" top="0.98425196850393704" bottom="0.98425196850393704" header="0.51181102362204722" footer="0.51181102362204722"/>
  <pageSetup scale="81" orientation="landscape" r:id="rId1"/>
  <headerFooter>
    <oddHeader>&amp;C FINANCIAL STATEMENTS: MUSINA LOCAL MUNICIPALITY</oddHeader>
    <oddFooter>&amp;RPage &amp;P</oddFooter>
  </headerFooter>
</worksheet>
</file>

<file path=xl/worksheets/sheet32.xml><?xml version="1.0" encoding="utf-8"?>
<worksheet xmlns="http://schemas.openxmlformats.org/spreadsheetml/2006/main" xmlns:r="http://schemas.openxmlformats.org/officeDocument/2006/relationships">
  <sheetPr>
    <tabColor rgb="FF66FF66"/>
    <pageSetUpPr fitToPage="1"/>
  </sheetPr>
  <dimension ref="A1:Q18"/>
  <sheetViews>
    <sheetView view="pageBreakPreview" zoomScaleSheetLayoutView="100" workbookViewId="0">
      <selection activeCell="C43" activeCellId="1" sqref="E18 C43"/>
    </sheetView>
  </sheetViews>
  <sheetFormatPr defaultRowHeight="12.75"/>
  <cols>
    <col min="1" max="1" width="34.42578125" style="577" customWidth="1"/>
    <col min="2" max="2" width="7.42578125" style="577" bestFit="1" customWidth="1"/>
    <col min="3" max="3" width="11.140625" style="577" customWidth="1"/>
    <col min="4" max="4" width="11.28515625" style="577" bestFit="1" customWidth="1"/>
    <col min="5" max="5" width="10.28515625" style="577" bestFit="1" customWidth="1"/>
    <col min="6" max="6" width="8.7109375" style="577" bestFit="1" customWidth="1"/>
    <col min="7" max="7" width="11.28515625" style="577" bestFit="1" customWidth="1"/>
    <col min="8" max="10" width="8.7109375" style="577" bestFit="1" customWidth="1"/>
    <col min="11" max="12" width="11.28515625" style="577" bestFit="1" customWidth="1"/>
    <col min="13" max="13" width="9.5703125" style="577" customWidth="1"/>
    <col min="14" max="14" width="12.7109375" style="577" bestFit="1" customWidth="1"/>
    <col min="15" max="15" width="13.28515625" style="577" customWidth="1"/>
    <col min="16" max="16" width="20.5703125" style="577" customWidth="1"/>
    <col min="17" max="17" width="13" style="577" customWidth="1"/>
    <col min="18" max="16384" width="9.140625" style="577"/>
  </cols>
  <sheetData>
    <row r="1" spans="1:17">
      <c r="A1" s="1804" t="s">
        <v>1047</v>
      </c>
      <c r="B1" s="1804"/>
      <c r="C1" s="1804"/>
      <c r="D1" s="1804"/>
      <c r="E1" s="1804"/>
      <c r="F1" s="1804"/>
      <c r="G1" s="1804"/>
      <c r="H1" s="1804"/>
      <c r="I1" s="1804"/>
      <c r="J1" s="1804"/>
      <c r="K1" s="1804"/>
      <c r="L1" s="1804"/>
      <c r="M1" s="1804"/>
      <c r="N1" s="1804"/>
      <c r="O1" s="1804"/>
      <c r="P1" s="1804"/>
      <c r="Q1" s="1804"/>
    </row>
    <row r="2" spans="1:17">
      <c r="A2" s="1804" t="s">
        <v>1547</v>
      </c>
      <c r="B2" s="1805"/>
      <c r="C2" s="1805"/>
      <c r="D2" s="1805"/>
      <c r="E2" s="1805"/>
      <c r="F2" s="1805"/>
      <c r="G2" s="1805"/>
      <c r="H2" s="1805"/>
      <c r="I2" s="1805"/>
      <c r="J2" s="1805"/>
      <c r="K2" s="1805"/>
      <c r="L2" s="1805"/>
      <c r="M2" s="1805"/>
      <c r="N2" s="1805"/>
      <c r="O2" s="1805"/>
      <c r="P2" s="1805"/>
      <c r="Q2" s="1805"/>
    </row>
    <row r="3" spans="1:17">
      <c r="A3" s="1807" t="s">
        <v>2101</v>
      </c>
      <c r="B3" s="1680"/>
      <c r="C3" s="1680"/>
      <c r="D3" s="1680"/>
      <c r="E3" s="1680"/>
      <c r="F3" s="1680"/>
      <c r="G3" s="1680"/>
      <c r="H3" s="1680"/>
      <c r="I3" s="1680"/>
      <c r="J3" s="1680"/>
      <c r="K3" s="1680"/>
      <c r="L3" s="1808"/>
      <c r="M3" s="1808"/>
      <c r="N3" s="1808"/>
      <c r="O3" s="1808"/>
      <c r="P3" s="1808"/>
      <c r="Q3" s="1808"/>
    </row>
    <row r="4" spans="1:17">
      <c r="A4" s="309"/>
      <c r="B4" s="839"/>
      <c r="C4" s="1018"/>
      <c r="D4" s="839"/>
      <c r="E4" s="839"/>
      <c r="F4" s="839"/>
      <c r="G4" s="839"/>
      <c r="H4" s="839"/>
      <c r="I4" s="839"/>
      <c r="J4" s="839"/>
      <c r="K4" s="839"/>
      <c r="L4" s="839"/>
      <c r="M4" s="839"/>
      <c r="N4" s="839"/>
      <c r="O4" s="839"/>
      <c r="P4" s="839"/>
      <c r="Q4" s="839"/>
    </row>
    <row r="5" spans="1:17">
      <c r="A5" s="32" t="s">
        <v>1548</v>
      </c>
    </row>
    <row r="6" spans="1:17">
      <c r="A6" s="839"/>
    </row>
    <row r="7" spans="1:17">
      <c r="A7" s="840"/>
    </row>
    <row r="8" spans="1:17" ht="92.25" customHeight="1">
      <c r="A8" s="1806" t="s">
        <v>1549</v>
      </c>
      <c r="B8" s="1806"/>
      <c r="C8" s="1806"/>
      <c r="D8" s="1806"/>
      <c r="E8" s="1806"/>
      <c r="F8" s="1806"/>
      <c r="G8" s="1806"/>
      <c r="H8" s="1806" t="s">
        <v>1550</v>
      </c>
      <c r="I8" s="1806"/>
      <c r="J8" s="1806"/>
      <c r="K8" s="1806"/>
      <c r="L8" s="1806"/>
      <c r="M8" s="37" t="s">
        <v>1551</v>
      </c>
      <c r="N8" s="37" t="s">
        <v>1552</v>
      </c>
      <c r="O8" s="37" t="s">
        <v>1553</v>
      </c>
      <c r="P8" s="37" t="s">
        <v>1554</v>
      </c>
      <c r="Q8" s="37" t="s">
        <v>1555</v>
      </c>
    </row>
    <row r="9" spans="1:17">
      <c r="A9" s="1806"/>
      <c r="B9" s="1806"/>
      <c r="C9" s="1019" t="s">
        <v>1556</v>
      </c>
      <c r="D9" s="37" t="s">
        <v>1557</v>
      </c>
      <c r="E9" s="37" t="s">
        <v>1558</v>
      </c>
      <c r="F9" s="37" t="s">
        <v>1559</v>
      </c>
      <c r="G9" s="37" t="s">
        <v>1108</v>
      </c>
      <c r="H9" s="37" t="s">
        <v>1556</v>
      </c>
      <c r="I9" s="37" t="s">
        <v>1557</v>
      </c>
      <c r="J9" s="37" t="s">
        <v>1558</v>
      </c>
      <c r="K9" s="37" t="s">
        <v>1559</v>
      </c>
      <c r="L9" s="37" t="s">
        <v>1108</v>
      </c>
      <c r="M9" s="37" t="s">
        <v>1108</v>
      </c>
      <c r="N9" s="37" t="s">
        <v>1108</v>
      </c>
      <c r="O9" s="37"/>
      <c r="P9" s="37" t="s">
        <v>1560</v>
      </c>
      <c r="Q9" s="37"/>
    </row>
    <row r="10" spans="1:17">
      <c r="A10" s="841" t="s">
        <v>1258</v>
      </c>
      <c r="B10" s="841" t="s">
        <v>27</v>
      </c>
      <c r="C10" s="775">
        <v>10018857</v>
      </c>
      <c r="D10" s="775">
        <v>8015086</v>
      </c>
      <c r="E10" s="775">
        <v>6011314</v>
      </c>
      <c r="F10" s="775">
        <v>0</v>
      </c>
      <c r="G10" s="775">
        <f>SUM(C10:F10)</f>
        <v>24045257</v>
      </c>
      <c r="H10" s="775">
        <v>0</v>
      </c>
      <c r="I10" s="775">
        <v>0</v>
      </c>
      <c r="J10" s="775">
        <v>0</v>
      </c>
      <c r="K10" s="778">
        <v>24045257</v>
      </c>
      <c r="L10" s="778">
        <f t="shared" ref="L10:L15" si="0">SUM(H10:K10)</f>
        <v>24045257</v>
      </c>
      <c r="M10" s="842"/>
      <c r="N10" s="775">
        <f t="shared" ref="N10:N15" si="1">G10</f>
        <v>24045257</v>
      </c>
      <c r="O10" s="826"/>
      <c r="P10" s="1023" t="s">
        <v>2496</v>
      </c>
      <c r="Q10" s="826"/>
    </row>
    <row r="11" spans="1:17">
      <c r="A11" s="843" t="s">
        <v>1264</v>
      </c>
      <c r="B11" s="843" t="s">
        <v>27</v>
      </c>
      <c r="C11" s="778">
        <v>750000</v>
      </c>
      <c r="D11" s="778">
        <v>0</v>
      </c>
      <c r="E11" s="778">
        <v>0</v>
      </c>
      <c r="F11" s="778">
        <v>0</v>
      </c>
      <c r="G11" s="778">
        <f>SUM(C11:F11)</f>
        <v>750000</v>
      </c>
      <c r="H11" s="778">
        <v>0</v>
      </c>
      <c r="I11" s="778">
        <v>0</v>
      </c>
      <c r="J11" s="778">
        <v>0</v>
      </c>
      <c r="K11" s="778">
        <v>750</v>
      </c>
      <c r="L11" s="778">
        <f t="shared" si="0"/>
        <v>750</v>
      </c>
      <c r="M11" s="842"/>
      <c r="N11" s="778">
        <f t="shared" si="1"/>
        <v>750000</v>
      </c>
      <c r="O11" s="826"/>
      <c r="P11" s="1023" t="s">
        <v>2496</v>
      </c>
      <c r="Q11" s="826"/>
    </row>
    <row r="12" spans="1:17">
      <c r="A12" s="101" t="s">
        <v>1562</v>
      </c>
      <c r="B12" s="826" t="s">
        <v>27</v>
      </c>
      <c r="C12" s="1022">
        <v>3270000</v>
      </c>
      <c r="D12" s="778">
        <v>2380000</v>
      </c>
      <c r="E12" s="778">
        <v>1480000</v>
      </c>
      <c r="F12" s="778">
        <v>0</v>
      </c>
      <c r="G12" s="778">
        <f>SUM(C12:F12)</f>
        <v>7130000</v>
      </c>
      <c r="H12" s="778">
        <v>0</v>
      </c>
      <c r="I12" s="778">
        <v>0</v>
      </c>
      <c r="J12" s="778">
        <v>0</v>
      </c>
      <c r="K12" s="778">
        <v>8552027.7699999996</v>
      </c>
      <c r="L12" s="778">
        <f t="shared" si="0"/>
        <v>8552027.7699999996</v>
      </c>
      <c r="M12" s="842"/>
      <c r="N12" s="778">
        <f t="shared" si="1"/>
        <v>7130000</v>
      </c>
      <c r="O12" s="826"/>
      <c r="P12" s="1023" t="s">
        <v>2496</v>
      </c>
      <c r="Q12" s="826"/>
    </row>
    <row r="13" spans="1:17">
      <c r="A13" s="101" t="s">
        <v>1809</v>
      </c>
      <c r="B13" s="826" t="s">
        <v>27</v>
      </c>
      <c r="C13" s="778"/>
      <c r="D13" s="778">
        <v>0</v>
      </c>
      <c r="E13" s="778">
        <v>0</v>
      </c>
      <c r="F13" s="778">
        <v>0</v>
      </c>
      <c r="G13" s="778">
        <f>SUM(C13:F13)</f>
        <v>0</v>
      </c>
      <c r="H13" s="778">
        <v>0</v>
      </c>
      <c r="I13" s="778">
        <v>0</v>
      </c>
      <c r="J13" s="778">
        <v>0</v>
      </c>
      <c r="K13" s="778">
        <v>0</v>
      </c>
      <c r="L13" s="778">
        <f t="shared" si="0"/>
        <v>0</v>
      </c>
      <c r="M13" s="842"/>
      <c r="N13" s="778">
        <f t="shared" si="1"/>
        <v>0</v>
      </c>
      <c r="O13" s="826"/>
      <c r="P13" s="826"/>
      <c r="Q13" s="826"/>
    </row>
    <row r="14" spans="1:17" ht="51">
      <c r="A14" s="101" t="s">
        <v>1561</v>
      </c>
      <c r="B14" s="826" t="s">
        <v>1183</v>
      </c>
      <c r="C14" s="778">
        <v>3000000</v>
      </c>
      <c r="D14" s="778">
        <v>0</v>
      </c>
      <c r="E14" s="778">
        <v>0</v>
      </c>
      <c r="F14" s="778">
        <v>0</v>
      </c>
      <c r="G14" s="778">
        <f>SUM(C14:F14)</f>
        <v>3000000</v>
      </c>
      <c r="H14" s="778">
        <v>0</v>
      </c>
      <c r="I14" s="778">
        <v>0</v>
      </c>
      <c r="J14" s="778">
        <v>0</v>
      </c>
      <c r="K14" s="778">
        <v>3000000</v>
      </c>
      <c r="L14" s="778">
        <f t="shared" si="0"/>
        <v>3000000</v>
      </c>
      <c r="M14" s="842"/>
      <c r="N14" s="778">
        <f t="shared" si="1"/>
        <v>3000000</v>
      </c>
      <c r="O14" s="826"/>
      <c r="P14" s="1023" t="s">
        <v>2496</v>
      </c>
      <c r="Q14" s="826"/>
    </row>
    <row r="15" spans="1:17" ht="38.25">
      <c r="A15" s="92" t="s">
        <v>1563</v>
      </c>
      <c r="B15" s="826" t="s">
        <v>1564</v>
      </c>
      <c r="C15" s="778"/>
      <c r="D15" s="778">
        <v>0</v>
      </c>
      <c r="E15" s="778">
        <v>0</v>
      </c>
      <c r="F15" s="778">
        <v>0</v>
      </c>
      <c r="G15" s="778">
        <v>0</v>
      </c>
      <c r="H15" s="778">
        <v>0</v>
      </c>
      <c r="I15" s="778">
        <v>0</v>
      </c>
      <c r="J15" s="778">
        <v>0</v>
      </c>
      <c r="K15" s="778">
        <v>0</v>
      </c>
      <c r="L15" s="778">
        <f t="shared" si="0"/>
        <v>0</v>
      </c>
      <c r="M15" s="842"/>
      <c r="N15" s="778">
        <f t="shared" si="1"/>
        <v>0</v>
      </c>
      <c r="O15" s="826"/>
      <c r="P15" s="826"/>
      <c r="Q15" s="826"/>
    </row>
    <row r="16" spans="1:17">
      <c r="A16" s="829"/>
      <c r="B16" s="844"/>
      <c r="C16" s="845">
        <f t="shared" ref="C16:K16" si="2">SUM(C10:C15)</f>
        <v>17038857</v>
      </c>
      <c r="D16" s="845">
        <f t="shared" si="2"/>
        <v>10395086</v>
      </c>
      <c r="E16" s="845">
        <f t="shared" si="2"/>
        <v>7491314</v>
      </c>
      <c r="F16" s="845">
        <f t="shared" si="2"/>
        <v>0</v>
      </c>
      <c r="G16" s="845">
        <f t="shared" si="2"/>
        <v>34925257</v>
      </c>
      <c r="H16" s="845">
        <f t="shared" si="2"/>
        <v>0</v>
      </c>
      <c r="I16" s="845">
        <f t="shared" si="2"/>
        <v>0</v>
      </c>
      <c r="J16" s="845">
        <f t="shared" si="2"/>
        <v>0</v>
      </c>
      <c r="K16" s="845">
        <f t="shared" si="2"/>
        <v>35598034.769999996</v>
      </c>
      <c r="L16" s="845">
        <f>SUM(L10:L15)</f>
        <v>35598034.769999996</v>
      </c>
      <c r="M16" s="845">
        <f>SUM(M14:M15)</f>
        <v>0</v>
      </c>
      <c r="N16" s="845">
        <f>SUM(N10:N15)</f>
        <v>34925257</v>
      </c>
      <c r="O16" s="829"/>
      <c r="P16" s="829"/>
      <c r="Q16" s="829"/>
    </row>
    <row r="18" spans="14:14">
      <c r="N18" s="846"/>
    </row>
  </sheetData>
  <mergeCells count="7">
    <mergeCell ref="A1:Q1"/>
    <mergeCell ref="A2:Q2"/>
    <mergeCell ref="A8:A9"/>
    <mergeCell ref="B8:B9"/>
    <mergeCell ref="C8:G8"/>
    <mergeCell ref="H8:L8"/>
    <mergeCell ref="A3:Q3"/>
  </mergeCells>
  <printOptions horizontalCentered="1"/>
  <pageMargins left="0.70866141732283472" right="0.70866141732283472" top="0.74803149606299213" bottom="0.74803149606299213" header="0.31496062992125984" footer="0.31496062992125984"/>
  <pageSetup paperSize="9" scale="61"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sheetPr>
    <tabColor rgb="FF66FF66"/>
    <pageSetUpPr fitToPage="1"/>
  </sheetPr>
  <dimension ref="A1:L67"/>
  <sheetViews>
    <sheetView view="pageBreakPreview" zoomScaleSheetLayoutView="100" workbookViewId="0">
      <selection activeCell="C43" activeCellId="1" sqref="E18 C43"/>
    </sheetView>
  </sheetViews>
  <sheetFormatPr defaultRowHeight="12.75"/>
  <cols>
    <col min="1" max="1" width="19.28515625" style="1231" bestFit="1" customWidth="1"/>
    <col min="2" max="2" width="24" style="1232" bestFit="1" customWidth="1"/>
    <col min="3" max="3" width="13.5703125" style="316" bestFit="1" customWidth="1"/>
    <col min="4" max="4" width="73.7109375" style="1232" bestFit="1" customWidth="1"/>
    <col min="5" max="5" width="9.7109375" style="335" customWidth="1"/>
    <col min="6" max="16384" width="9.140625" style="1232"/>
  </cols>
  <sheetData>
    <row r="1" spans="1:12">
      <c r="A1" s="1728" t="s">
        <v>464</v>
      </c>
      <c r="B1" s="1728"/>
      <c r="C1" s="1728"/>
      <c r="D1" s="1728"/>
      <c r="E1" s="1728"/>
      <c r="F1" s="135"/>
      <c r="G1" s="142"/>
      <c r="H1" s="142"/>
      <c r="I1" s="142"/>
      <c r="J1" s="142"/>
      <c r="K1" s="142"/>
      <c r="L1" s="1233"/>
    </row>
    <row r="2" spans="1:12" ht="15.75" customHeight="1">
      <c r="A2" s="1728" t="s">
        <v>465</v>
      </c>
      <c r="B2" s="1728"/>
      <c r="C2" s="1728"/>
      <c r="D2" s="1728"/>
      <c r="E2" s="1728"/>
      <c r="F2" s="135"/>
      <c r="G2" s="142"/>
      <c r="H2" s="142"/>
      <c r="I2" s="142"/>
      <c r="J2" s="142"/>
      <c r="K2" s="142"/>
      <c r="L2" s="1233"/>
    </row>
    <row r="3" spans="1:12" ht="15.75" customHeight="1">
      <c r="A3" s="1728" t="s">
        <v>466</v>
      </c>
      <c r="B3" s="1728"/>
      <c r="C3" s="1728"/>
      <c r="D3" s="1728"/>
      <c r="E3" s="1728"/>
      <c r="F3" s="135"/>
      <c r="G3" s="142"/>
      <c r="H3" s="142"/>
      <c r="I3" s="142"/>
      <c r="J3" s="142"/>
      <c r="K3" s="142"/>
      <c r="L3" s="1233"/>
    </row>
    <row r="4" spans="1:12" ht="15.75" customHeight="1">
      <c r="A4" s="1728" t="s">
        <v>2078</v>
      </c>
      <c r="B4" s="1728"/>
      <c r="C4" s="1728"/>
      <c r="D4" s="1728"/>
      <c r="E4" s="1728"/>
      <c r="F4" s="135"/>
      <c r="G4" s="142"/>
      <c r="H4" s="142"/>
      <c r="I4" s="142"/>
      <c r="J4" s="142"/>
      <c r="K4" s="142"/>
      <c r="L4" s="1233"/>
    </row>
    <row r="5" spans="1:12">
      <c r="A5" s="1809"/>
      <c r="B5" s="1809"/>
      <c r="C5" s="1809"/>
      <c r="D5" s="1809"/>
      <c r="E5" s="670"/>
      <c r="G5" s="1233"/>
      <c r="H5" s="1233"/>
      <c r="I5" s="1233"/>
      <c r="J5" s="1233"/>
      <c r="K5" s="1233"/>
      <c r="L5" s="1233"/>
    </row>
    <row r="6" spans="1:12" ht="31.5" customHeight="1">
      <c r="A6" s="993" t="s">
        <v>1102</v>
      </c>
      <c r="B6" s="993" t="s">
        <v>1103</v>
      </c>
      <c r="C6" s="168" t="s">
        <v>1121</v>
      </c>
      <c r="D6" s="993" t="s">
        <v>1104</v>
      </c>
      <c r="E6" s="993" t="s">
        <v>463</v>
      </c>
    </row>
    <row r="7" spans="1:12">
      <c r="A7" s="1276"/>
      <c r="B7" s="996"/>
      <c r="C7" s="1283"/>
      <c r="D7" s="1284"/>
      <c r="E7" s="996"/>
    </row>
    <row r="8" spans="1:12" ht="16.5" customHeight="1">
      <c r="A8" s="1277"/>
      <c r="B8" s="318"/>
      <c r="C8" s="1285"/>
      <c r="D8" s="1286"/>
      <c r="E8" s="318"/>
    </row>
    <row r="9" spans="1:12">
      <c r="A9" s="996" t="s">
        <v>823</v>
      </c>
      <c r="B9" s="996" t="s">
        <v>2463</v>
      </c>
      <c r="C9" s="1287">
        <v>8000</v>
      </c>
      <c r="D9" s="1287" t="s">
        <v>2806</v>
      </c>
      <c r="E9" s="996">
        <v>27081</v>
      </c>
    </row>
    <row r="10" spans="1:12">
      <c r="A10" s="996"/>
      <c r="B10" s="996" t="s">
        <v>2464</v>
      </c>
      <c r="C10" s="1287">
        <v>4149.6000000000004</v>
      </c>
      <c r="D10" s="1278" t="s">
        <v>2808</v>
      </c>
      <c r="E10" s="996">
        <v>31996</v>
      </c>
    </row>
    <row r="11" spans="1:12">
      <c r="A11" s="996" t="s">
        <v>2465</v>
      </c>
      <c r="B11" s="996" t="s">
        <v>2466</v>
      </c>
      <c r="C11" s="1287">
        <v>32386.11</v>
      </c>
      <c r="D11" s="1278" t="s">
        <v>2781</v>
      </c>
      <c r="E11" s="996">
        <v>33114</v>
      </c>
    </row>
    <row r="12" spans="1:12">
      <c r="A12" s="996" t="s">
        <v>2465</v>
      </c>
      <c r="B12" s="996" t="s">
        <v>2466</v>
      </c>
      <c r="C12" s="1287">
        <v>40355.43</v>
      </c>
      <c r="D12" s="1278" t="s">
        <v>2781</v>
      </c>
      <c r="E12" s="996">
        <v>34101</v>
      </c>
    </row>
    <row r="13" spans="1:12">
      <c r="A13" s="996" t="s">
        <v>2467</v>
      </c>
      <c r="B13" s="996" t="s">
        <v>2468</v>
      </c>
      <c r="C13" s="1287">
        <v>4954</v>
      </c>
      <c r="D13" s="1278" t="s">
        <v>2782</v>
      </c>
      <c r="E13" s="996">
        <v>32660</v>
      </c>
    </row>
    <row r="14" spans="1:12">
      <c r="A14" s="996" t="s">
        <v>2465</v>
      </c>
      <c r="B14" s="996" t="s">
        <v>2469</v>
      </c>
      <c r="C14" s="1288">
        <v>82080</v>
      </c>
      <c r="D14" s="1278" t="s">
        <v>2783</v>
      </c>
      <c r="E14" s="996">
        <v>34598</v>
      </c>
    </row>
    <row r="15" spans="1:12">
      <c r="A15" s="996" t="s">
        <v>2465</v>
      </c>
      <c r="B15" s="996" t="s">
        <v>2466</v>
      </c>
      <c r="C15" s="1288">
        <v>36972.6</v>
      </c>
      <c r="D15" s="1278" t="s">
        <v>2781</v>
      </c>
      <c r="E15" s="996">
        <v>34667</v>
      </c>
    </row>
    <row r="16" spans="1:12">
      <c r="A16" s="996" t="s">
        <v>2465</v>
      </c>
      <c r="B16" s="996" t="s">
        <v>2466</v>
      </c>
      <c r="C16" s="1288">
        <v>12130.97</v>
      </c>
      <c r="D16" s="1278" t="s">
        <v>2781</v>
      </c>
      <c r="E16" s="996">
        <v>31315</v>
      </c>
    </row>
    <row r="17" spans="1:5">
      <c r="A17" s="996" t="s">
        <v>2465</v>
      </c>
      <c r="B17" s="996" t="s">
        <v>2466</v>
      </c>
      <c r="C17" s="1288">
        <v>24703.8</v>
      </c>
      <c r="D17" s="1278" t="s">
        <v>2781</v>
      </c>
      <c r="E17" s="996">
        <v>30260</v>
      </c>
    </row>
    <row r="18" spans="1:5">
      <c r="A18" s="996" t="s">
        <v>2465</v>
      </c>
      <c r="B18" s="996" t="s">
        <v>2466</v>
      </c>
      <c r="C18" s="1288">
        <v>16713.080000000002</v>
      </c>
      <c r="D18" s="1278" t="s">
        <v>2781</v>
      </c>
      <c r="E18" s="996">
        <v>29244</v>
      </c>
    </row>
    <row r="19" spans="1:5">
      <c r="A19" s="996" t="s">
        <v>2465</v>
      </c>
      <c r="B19" s="996" t="s">
        <v>2466</v>
      </c>
      <c r="C19" s="1288">
        <v>32283.200000000001</v>
      </c>
      <c r="D19" s="1278" t="s">
        <v>2781</v>
      </c>
      <c r="E19" s="996">
        <v>30365</v>
      </c>
    </row>
    <row r="20" spans="1:5">
      <c r="A20" s="996" t="s">
        <v>823</v>
      </c>
      <c r="B20" s="996" t="s">
        <v>2470</v>
      </c>
      <c r="C20" s="1287">
        <v>121125</v>
      </c>
      <c r="D20" s="1278" t="s">
        <v>2807</v>
      </c>
      <c r="E20" s="996">
        <v>31460</v>
      </c>
    </row>
    <row r="21" spans="1:5">
      <c r="A21" s="996" t="s">
        <v>2465</v>
      </c>
      <c r="B21" s="996" t="s">
        <v>2466</v>
      </c>
      <c r="C21" s="1288">
        <v>34268.400000000001</v>
      </c>
      <c r="D21" s="1278" t="s">
        <v>2781</v>
      </c>
      <c r="E21" s="996">
        <v>31951</v>
      </c>
    </row>
    <row r="22" spans="1:5" ht="13.5" thickBot="1">
      <c r="A22" s="320"/>
      <c r="C22" s="1289"/>
      <c r="D22" s="1290"/>
      <c r="E22" s="1232"/>
    </row>
    <row r="23" spans="1:5" ht="14.25" thickTop="1" thickBot="1">
      <c r="A23" s="313"/>
      <c r="B23" s="313"/>
      <c r="C23" s="1291">
        <f>SUM(C7:C21)</f>
        <v>450122.19000000006</v>
      </c>
      <c r="D23" s="1292"/>
      <c r="E23" s="995"/>
    </row>
    <row r="24" spans="1:5" ht="13.5" thickTop="1">
      <c r="A24" s="313"/>
      <c r="B24" s="313"/>
      <c r="C24" s="312"/>
      <c r="D24" s="313"/>
      <c r="E24" s="995"/>
    </row>
    <row r="25" spans="1:5">
      <c r="A25" s="313"/>
      <c r="B25" s="313"/>
      <c r="C25" s="312"/>
      <c r="D25" s="313"/>
      <c r="E25" s="995"/>
    </row>
    <row r="26" spans="1:5">
      <c r="A26" s="313"/>
      <c r="B26" s="313"/>
      <c r="C26" s="312"/>
      <c r="D26" s="313"/>
      <c r="E26" s="995"/>
    </row>
    <row r="27" spans="1:5">
      <c r="A27" s="313"/>
      <c r="B27" s="313"/>
      <c r="C27" s="312"/>
      <c r="D27" s="313"/>
      <c r="E27" s="995"/>
    </row>
    <row r="28" spans="1:5">
      <c r="A28" s="313"/>
      <c r="B28" s="313"/>
      <c r="C28" s="312"/>
      <c r="D28" s="313"/>
      <c r="E28" s="995"/>
    </row>
    <row r="29" spans="1:5">
      <c r="A29" s="313"/>
      <c r="B29" s="313"/>
      <c r="C29" s="312"/>
      <c r="D29" s="313"/>
      <c r="E29" s="995"/>
    </row>
    <row r="30" spans="1:5">
      <c r="A30" s="313"/>
      <c r="B30" s="313"/>
      <c r="C30" s="312"/>
      <c r="D30" s="313"/>
      <c r="E30" s="995"/>
    </row>
    <row r="31" spans="1:5">
      <c r="A31" s="313"/>
      <c r="B31" s="313"/>
      <c r="C31" s="312"/>
      <c r="D31" s="313"/>
      <c r="E31" s="995"/>
    </row>
    <row r="32" spans="1:5">
      <c r="A32" s="313"/>
      <c r="B32" s="313"/>
      <c r="C32" s="312"/>
      <c r="D32" s="313"/>
      <c r="E32" s="995"/>
    </row>
    <row r="33" spans="1:5">
      <c r="A33" s="313"/>
      <c r="B33" s="313"/>
      <c r="C33" s="312"/>
      <c r="D33" s="313"/>
      <c r="E33" s="995"/>
    </row>
    <row r="34" spans="1:5">
      <c r="A34" s="313"/>
      <c r="B34" s="313"/>
      <c r="C34" s="312"/>
      <c r="D34" s="313"/>
      <c r="E34" s="995"/>
    </row>
    <row r="35" spans="1:5">
      <c r="A35" s="313"/>
      <c r="B35" s="313"/>
      <c r="C35" s="312"/>
      <c r="D35" s="313"/>
      <c r="E35" s="995"/>
    </row>
    <row r="36" spans="1:5">
      <c r="A36" s="313"/>
      <c r="B36" s="313"/>
      <c r="C36" s="312"/>
      <c r="D36" s="313"/>
      <c r="E36" s="995"/>
    </row>
    <row r="37" spans="1:5">
      <c r="A37" s="313"/>
      <c r="B37" s="313"/>
      <c r="C37" s="312"/>
      <c r="D37" s="313"/>
      <c r="E37" s="995"/>
    </row>
    <row r="38" spans="1:5">
      <c r="A38" s="313"/>
      <c r="B38" s="313"/>
      <c r="C38" s="312"/>
      <c r="D38" s="313"/>
      <c r="E38" s="995"/>
    </row>
    <row r="39" spans="1:5">
      <c r="A39" s="313"/>
      <c r="B39" s="313"/>
      <c r="C39" s="312"/>
      <c r="D39" s="313"/>
      <c r="E39" s="995"/>
    </row>
    <row r="40" spans="1:5">
      <c r="A40" s="313"/>
      <c r="B40" s="313"/>
      <c r="C40" s="312"/>
      <c r="D40" s="313"/>
      <c r="E40" s="995"/>
    </row>
    <row r="41" spans="1:5">
      <c r="A41" s="313"/>
      <c r="B41" s="313"/>
      <c r="C41" s="312"/>
      <c r="D41" s="313"/>
      <c r="E41" s="995"/>
    </row>
    <row r="42" spans="1:5">
      <c r="A42" s="313"/>
      <c r="B42" s="313"/>
      <c r="C42" s="312"/>
      <c r="D42" s="313"/>
      <c r="E42" s="995"/>
    </row>
    <row r="43" spans="1:5">
      <c r="A43" s="313"/>
      <c r="B43" s="313"/>
      <c r="C43" s="312"/>
      <c r="D43" s="313"/>
      <c r="E43" s="995"/>
    </row>
    <row r="44" spans="1:5">
      <c r="A44" s="313"/>
      <c r="B44" s="313"/>
      <c r="C44" s="312"/>
      <c r="D44" s="313"/>
      <c r="E44" s="995"/>
    </row>
    <row r="45" spans="1:5">
      <c r="A45" s="313"/>
      <c r="B45" s="313"/>
      <c r="C45" s="312"/>
      <c r="D45" s="313"/>
      <c r="E45" s="995"/>
    </row>
    <row r="46" spans="1:5">
      <c r="A46" s="313"/>
      <c r="B46" s="313"/>
      <c r="C46" s="312"/>
      <c r="D46" s="313"/>
      <c r="E46" s="995"/>
    </row>
    <row r="47" spans="1:5">
      <c r="A47" s="313"/>
      <c r="B47" s="313"/>
      <c r="C47" s="312"/>
      <c r="D47" s="313"/>
      <c r="E47" s="995"/>
    </row>
    <row r="48" spans="1:5">
      <c r="A48" s="313"/>
      <c r="B48" s="313"/>
      <c r="C48" s="312"/>
      <c r="D48" s="313"/>
      <c r="E48" s="995"/>
    </row>
    <row r="49" spans="1:5">
      <c r="A49" s="313"/>
      <c r="B49" s="313"/>
      <c r="C49" s="312"/>
      <c r="D49" s="313"/>
      <c r="E49" s="995"/>
    </row>
    <row r="50" spans="1:5">
      <c r="A50" s="313"/>
      <c r="B50" s="313"/>
      <c r="C50" s="312"/>
      <c r="D50" s="313"/>
      <c r="E50" s="995"/>
    </row>
    <row r="51" spans="1:5">
      <c r="A51" s="313"/>
      <c r="B51" s="313"/>
      <c r="C51" s="312"/>
      <c r="D51" s="313"/>
      <c r="E51" s="995"/>
    </row>
    <row r="52" spans="1:5">
      <c r="A52" s="313"/>
      <c r="B52" s="313"/>
      <c r="C52" s="312"/>
      <c r="D52" s="313"/>
      <c r="E52" s="995"/>
    </row>
    <row r="53" spans="1:5">
      <c r="A53" s="313"/>
      <c r="B53" s="313"/>
      <c r="C53" s="312"/>
      <c r="D53" s="313"/>
      <c r="E53" s="995"/>
    </row>
    <row r="54" spans="1:5">
      <c r="A54" s="313"/>
      <c r="B54" s="313"/>
      <c r="C54" s="312"/>
      <c r="D54" s="313"/>
      <c r="E54" s="995"/>
    </row>
    <row r="55" spans="1:5">
      <c r="A55" s="313"/>
      <c r="B55" s="313"/>
      <c r="C55" s="312"/>
      <c r="D55" s="313"/>
      <c r="E55" s="995"/>
    </row>
    <row r="56" spans="1:5">
      <c r="A56" s="313"/>
      <c r="B56" s="313"/>
      <c r="C56" s="312"/>
      <c r="D56" s="313"/>
      <c r="E56" s="995"/>
    </row>
    <row r="57" spans="1:5">
      <c r="A57" s="313"/>
      <c r="B57" s="313"/>
      <c r="C57" s="312"/>
      <c r="D57" s="313"/>
      <c r="E57" s="995"/>
    </row>
    <row r="58" spans="1:5">
      <c r="A58" s="313"/>
      <c r="B58" s="313"/>
      <c r="C58" s="312"/>
      <c r="D58" s="313"/>
      <c r="E58" s="995"/>
    </row>
    <row r="59" spans="1:5">
      <c r="A59" s="313"/>
      <c r="B59" s="313"/>
      <c r="C59" s="312"/>
      <c r="D59" s="313"/>
      <c r="E59" s="995"/>
    </row>
    <row r="60" spans="1:5">
      <c r="A60" s="313"/>
      <c r="B60" s="313"/>
      <c r="C60" s="313"/>
      <c r="D60" s="313"/>
      <c r="E60" s="995"/>
    </row>
    <row r="61" spans="1:5">
      <c r="A61" s="313"/>
      <c r="B61" s="313"/>
      <c r="C61" s="313"/>
      <c r="D61" s="313"/>
      <c r="E61" s="995"/>
    </row>
    <row r="62" spans="1:5">
      <c r="A62" s="313"/>
      <c r="B62" s="313"/>
      <c r="C62" s="313"/>
      <c r="D62" s="313"/>
      <c r="E62" s="995"/>
    </row>
    <row r="63" spans="1:5">
      <c r="A63" s="313"/>
      <c r="B63" s="313"/>
      <c r="C63" s="313"/>
      <c r="D63" s="313"/>
      <c r="E63" s="995"/>
    </row>
    <row r="64" spans="1:5">
      <c r="A64" s="313"/>
      <c r="B64" s="313"/>
      <c r="C64" s="313"/>
      <c r="D64" s="313"/>
      <c r="E64" s="995"/>
    </row>
    <row r="65" spans="1:5">
      <c r="A65" s="313"/>
      <c r="B65" s="313"/>
      <c r="C65" s="313"/>
      <c r="D65" s="313"/>
      <c r="E65" s="995"/>
    </row>
    <row r="66" spans="1:5">
      <c r="A66" s="313"/>
      <c r="B66" s="313"/>
      <c r="C66" s="313"/>
      <c r="D66" s="313"/>
      <c r="E66" s="995"/>
    </row>
    <row r="67" spans="1:5">
      <c r="A67" s="313"/>
      <c r="B67" s="313"/>
      <c r="C67" s="313"/>
      <c r="D67" s="313"/>
      <c r="E67" s="995"/>
    </row>
  </sheetData>
  <mergeCells count="5">
    <mergeCell ref="A5:D5"/>
    <mergeCell ref="A1:E1"/>
    <mergeCell ref="A2:E2"/>
    <mergeCell ref="A3:E3"/>
    <mergeCell ref="A4:E4"/>
  </mergeCells>
  <phoneticPr fontId="0" type="noConversion"/>
  <printOptions horizontalCentered="1"/>
  <pageMargins left="0.6692913385826772" right="0.39370078740157483" top="0.98425196850393704" bottom="0.98425196850393704" header="0.51181102362204722" footer="0.51181102362204722"/>
  <pageSetup scale="90" orientation="landscape" r:id="rId1"/>
  <headerFooter>
    <oddHeader>&amp;C FINANCIAL STATEMENTS: MUSINA LOCAL MUNICIPALITY</oddHeader>
    <oddFooter>&amp;RPage &amp;P</oddFooter>
  </headerFooter>
</worksheet>
</file>

<file path=xl/worksheets/sheet34.xml><?xml version="1.0" encoding="utf-8"?>
<worksheet xmlns="http://schemas.openxmlformats.org/spreadsheetml/2006/main" xmlns:r="http://schemas.openxmlformats.org/officeDocument/2006/relationships">
  <dimension ref="C2:E10"/>
  <sheetViews>
    <sheetView workbookViewId="0">
      <selection activeCell="G30" sqref="G30"/>
    </sheetView>
  </sheetViews>
  <sheetFormatPr defaultRowHeight="15"/>
  <cols>
    <col min="3" max="3" width="28.7109375" bestFit="1" customWidth="1"/>
    <col min="4" max="4" width="15.28515625" style="946" customWidth="1"/>
    <col min="5" max="5" width="19.42578125" style="945" bestFit="1" customWidth="1"/>
  </cols>
  <sheetData>
    <row r="2" spans="3:5" ht="20.25">
      <c r="C2" s="949" t="s">
        <v>2453</v>
      </c>
    </row>
    <row r="4" spans="3:5">
      <c r="D4" s="951" t="s">
        <v>2451</v>
      </c>
      <c r="E4" s="952" t="s">
        <v>2452</v>
      </c>
    </row>
    <row r="5" spans="3:5">
      <c r="C5" s="953" t="s">
        <v>2446</v>
      </c>
      <c r="D5" s="954">
        <v>3978432</v>
      </c>
      <c r="E5" s="955">
        <v>3718774.72</v>
      </c>
    </row>
    <row r="6" spans="3:5">
      <c r="C6" s="953" t="s">
        <v>2447</v>
      </c>
      <c r="D6" s="954">
        <v>3852106</v>
      </c>
      <c r="E6" s="955">
        <v>1302908.95</v>
      </c>
    </row>
    <row r="7" spans="3:5">
      <c r="C7" s="953" t="s">
        <v>2448</v>
      </c>
      <c r="D7" s="954">
        <v>2042671</v>
      </c>
      <c r="E7" s="955">
        <v>1651617.18</v>
      </c>
    </row>
    <row r="8" spans="3:5">
      <c r="C8" s="953" t="s">
        <v>2449</v>
      </c>
      <c r="D8" s="954">
        <v>1239603</v>
      </c>
      <c r="E8" s="955">
        <v>1082275.31</v>
      </c>
    </row>
    <row r="9" spans="3:5">
      <c r="C9" s="953" t="s">
        <v>2450</v>
      </c>
      <c r="D9" s="954">
        <v>2597188</v>
      </c>
      <c r="E9" s="955">
        <v>2505959.7599999998</v>
      </c>
    </row>
    <row r="10" spans="3:5" ht="18.75">
      <c r="C10" s="948" t="s">
        <v>1188</v>
      </c>
      <c r="D10" s="947">
        <f>SUM(D5:D9)</f>
        <v>13710000</v>
      </c>
      <c r="E10" s="950">
        <f>SUM(E5:E9)</f>
        <v>10261535.92</v>
      </c>
    </row>
  </sheetData>
  <pageMargins left="0.7" right="0.7" top="0.75" bottom="0.75" header="0.3" footer="0.3"/>
  <pageSetup orientation="portrait" horizontalDpi="300" verticalDpi="300" r:id="rId1"/>
</worksheet>
</file>

<file path=xl/worksheets/sheet35.xml><?xml version="1.0" encoding="utf-8"?>
<worksheet xmlns="http://schemas.openxmlformats.org/spreadsheetml/2006/main" xmlns:r="http://schemas.openxmlformats.org/officeDocument/2006/relationships">
  <sheetPr>
    <pageSetUpPr fitToPage="1"/>
  </sheetPr>
  <dimension ref="A1:AR157"/>
  <sheetViews>
    <sheetView view="pageBreakPreview" topLeftCell="A82" zoomScale="86" zoomScaleNormal="91" zoomScaleSheetLayoutView="86" workbookViewId="0">
      <selection activeCell="B98" sqref="B98:R145"/>
    </sheetView>
  </sheetViews>
  <sheetFormatPr defaultRowHeight="15.75"/>
  <cols>
    <col min="1" max="1" width="1.28515625" style="21" customWidth="1"/>
    <col min="2" max="2" width="5.5703125" style="21" customWidth="1"/>
    <col min="3" max="3" width="8.7109375" style="21" customWidth="1"/>
    <col min="4" max="4" width="9.28515625" style="21" bestFit="1" customWidth="1"/>
    <col min="5" max="5" width="21.42578125" style="21" customWidth="1"/>
    <col min="6" max="6" width="21.42578125" style="113" hidden="1" customWidth="1"/>
    <col min="7" max="8" width="21.42578125" style="114" hidden="1" customWidth="1"/>
    <col min="9" max="12" width="21.42578125" style="113" hidden="1" customWidth="1"/>
    <col min="13" max="14" width="21.42578125" style="21" hidden="1" customWidth="1"/>
    <col min="15" max="15" width="21.42578125" style="113" customWidth="1"/>
    <col min="16" max="16" width="19.7109375" style="113" customWidth="1"/>
    <col min="17" max="18" width="20.5703125" style="113" bestFit="1" customWidth="1"/>
    <col min="19" max="19" width="19.5703125" style="113" bestFit="1" customWidth="1"/>
    <col min="20" max="20" width="20.5703125" style="113" bestFit="1" customWidth="1"/>
    <col min="21" max="21" width="19.5703125" style="113" customWidth="1"/>
    <col min="22" max="22" width="9.140625" style="113" customWidth="1"/>
    <col min="23" max="23" width="22.140625" style="113" customWidth="1"/>
    <col min="24" max="44" width="9.140625" style="113" customWidth="1"/>
    <col min="45" max="16384" width="9.140625" style="21"/>
  </cols>
  <sheetData>
    <row r="1" spans="1:44" s="104" customFormat="1" ht="15">
      <c r="B1" s="1811" t="s">
        <v>2093</v>
      </c>
      <c r="C1" s="1811"/>
      <c r="D1" s="1811"/>
      <c r="E1" s="1811"/>
      <c r="F1" s="1811"/>
      <c r="G1" s="1811"/>
      <c r="H1" s="1811"/>
      <c r="I1" s="1811"/>
      <c r="J1" s="1811"/>
      <c r="K1" s="1811"/>
      <c r="L1" s="1811"/>
      <c r="M1" s="1811"/>
      <c r="N1" s="1811"/>
      <c r="O1" s="1811"/>
      <c r="P1" s="1811"/>
      <c r="Q1" s="1811"/>
      <c r="R1" s="1811"/>
      <c r="S1" s="106"/>
      <c r="T1" s="106"/>
      <c r="U1" s="106"/>
      <c r="V1" s="106"/>
      <c r="W1" s="106"/>
      <c r="X1" s="105"/>
      <c r="Y1" s="105"/>
      <c r="Z1" s="105"/>
      <c r="AA1" s="105"/>
      <c r="AB1" s="105"/>
      <c r="AC1" s="105"/>
      <c r="AD1" s="105"/>
      <c r="AE1" s="105"/>
      <c r="AF1" s="105"/>
      <c r="AG1" s="105"/>
      <c r="AH1" s="105"/>
      <c r="AI1" s="105"/>
      <c r="AJ1" s="105"/>
      <c r="AK1" s="105"/>
      <c r="AL1" s="105"/>
      <c r="AM1" s="105"/>
      <c r="AN1" s="105"/>
      <c r="AO1" s="105"/>
      <c r="AP1" s="105"/>
      <c r="AQ1" s="105"/>
      <c r="AR1" s="105"/>
    </row>
    <row r="3" spans="1:44" s="107" customFormat="1" ht="31.5" customHeight="1">
      <c r="B3" s="1810" t="s">
        <v>550</v>
      </c>
      <c r="C3" s="1810"/>
      <c r="D3" s="1810"/>
      <c r="E3" s="107" t="s">
        <v>551</v>
      </c>
      <c r="F3" s="108" t="s">
        <v>552</v>
      </c>
      <c r="G3" s="108" t="s">
        <v>1454</v>
      </c>
      <c r="H3" s="108" t="s">
        <v>1455</v>
      </c>
      <c r="I3" s="108" t="s">
        <v>1458</v>
      </c>
      <c r="J3" s="108" t="s">
        <v>1456</v>
      </c>
      <c r="K3" s="108" t="s">
        <v>1457</v>
      </c>
      <c r="L3" s="108" t="s">
        <v>1453</v>
      </c>
      <c r="M3" s="108" t="s">
        <v>1800</v>
      </c>
      <c r="N3" s="108" t="s">
        <v>1801</v>
      </c>
      <c r="O3" s="108" t="s">
        <v>1989</v>
      </c>
      <c r="P3" s="108" t="s">
        <v>2090</v>
      </c>
      <c r="Q3" s="108" t="s">
        <v>2091</v>
      </c>
      <c r="R3" s="108" t="s">
        <v>2092</v>
      </c>
      <c r="S3" s="110"/>
      <c r="T3" s="110"/>
      <c r="U3" s="110">
        <v>-14467935.949999999</v>
      </c>
      <c r="V3" s="110"/>
      <c r="W3" s="110"/>
      <c r="X3" s="109"/>
      <c r="Y3" s="109"/>
      <c r="Z3" s="109"/>
      <c r="AA3" s="109"/>
      <c r="AB3" s="109"/>
      <c r="AC3" s="109"/>
      <c r="AD3" s="109"/>
      <c r="AE3" s="109"/>
      <c r="AF3" s="109"/>
      <c r="AG3" s="109"/>
      <c r="AH3" s="109"/>
      <c r="AI3" s="109"/>
      <c r="AJ3" s="109"/>
      <c r="AK3" s="109"/>
      <c r="AL3" s="109"/>
      <c r="AM3" s="109"/>
      <c r="AN3" s="109"/>
      <c r="AO3" s="109"/>
      <c r="AP3" s="109"/>
      <c r="AQ3" s="109"/>
      <c r="AR3" s="109"/>
    </row>
    <row r="4" spans="1:44" s="111" customFormat="1">
      <c r="A4" s="107" t="s">
        <v>36</v>
      </c>
      <c r="B4" s="111" t="s">
        <v>36</v>
      </c>
      <c r="C4" s="107" t="s">
        <v>36</v>
      </c>
      <c r="D4" s="107" t="s">
        <v>36</v>
      </c>
      <c r="E4" s="107"/>
      <c r="F4" s="109" t="s">
        <v>36</v>
      </c>
      <c r="G4" s="112"/>
      <c r="H4" s="112"/>
      <c r="I4" s="109" t="s">
        <v>36</v>
      </c>
      <c r="J4" s="110"/>
      <c r="K4" s="110"/>
      <c r="L4" s="109" t="s">
        <v>36</v>
      </c>
      <c r="M4" s="110"/>
      <c r="N4" s="110"/>
      <c r="O4" s="113"/>
      <c r="P4" s="110"/>
      <c r="Q4" s="110"/>
      <c r="R4" s="110"/>
      <c r="S4" s="110"/>
      <c r="T4" s="110"/>
      <c r="U4" s="110">
        <v>-139.6</v>
      </c>
      <c r="V4" s="110"/>
      <c r="W4" s="110"/>
      <c r="X4" s="110"/>
      <c r="Y4" s="110"/>
      <c r="Z4" s="110"/>
      <c r="AA4" s="110"/>
      <c r="AB4" s="110"/>
      <c r="AC4" s="110"/>
      <c r="AD4" s="110"/>
      <c r="AE4" s="110"/>
      <c r="AF4" s="110"/>
      <c r="AG4" s="110"/>
      <c r="AH4" s="110"/>
      <c r="AI4" s="110"/>
      <c r="AJ4" s="110"/>
      <c r="AK4" s="110"/>
      <c r="AL4" s="110"/>
      <c r="AM4" s="110"/>
      <c r="AN4" s="110"/>
      <c r="AO4" s="110"/>
      <c r="AP4" s="110"/>
      <c r="AQ4" s="110"/>
      <c r="AR4" s="110"/>
    </row>
    <row r="5" spans="1:44" ht="17.25" hidden="1" customHeight="1">
      <c r="A5" s="21">
        <v>5</v>
      </c>
      <c r="B5" s="16" t="s">
        <v>556</v>
      </c>
      <c r="C5" s="16" t="s">
        <v>556</v>
      </c>
      <c r="D5" s="16" t="s">
        <v>557</v>
      </c>
      <c r="E5" s="17" t="s">
        <v>1316</v>
      </c>
      <c r="F5" s="18">
        <f>-5467785.09+5430147.82</f>
        <v>-37637.269999999553</v>
      </c>
      <c r="G5" s="20">
        <v>37637.269999999997</v>
      </c>
      <c r="H5" s="20">
        <v>0</v>
      </c>
      <c r="I5" s="18">
        <f>SUM(F5:H5)</f>
        <v>4.4383341446518898E-10</v>
      </c>
      <c r="J5" s="18">
        <v>0</v>
      </c>
      <c r="K5" s="18"/>
      <c r="L5" s="18">
        <f>+I5+J5+K5</f>
        <v>4.4383341446518898E-10</v>
      </c>
      <c r="M5" s="18"/>
      <c r="N5" s="18"/>
      <c r="O5" s="18">
        <f t="shared" ref="O5:O19" si="0">L5+M5+N5</f>
        <v>4.4383341446518898E-10</v>
      </c>
      <c r="P5" s="18"/>
      <c r="Q5" s="18"/>
      <c r="R5" s="18"/>
    </row>
    <row r="6" spans="1:44" ht="17.25" customHeight="1" thickBot="1">
      <c r="M6" s="113"/>
      <c r="N6" s="113"/>
      <c r="O6" s="113">
        <f t="shared" si="0"/>
        <v>0</v>
      </c>
      <c r="U6" s="113">
        <f>SUM(U3:U5)</f>
        <v>-14468075.549999999</v>
      </c>
    </row>
    <row r="7" spans="1:44" ht="17.25" customHeight="1" thickTop="1" thickBot="1">
      <c r="B7" s="25" t="s">
        <v>1459</v>
      </c>
      <c r="C7" s="26"/>
      <c r="D7" s="24"/>
      <c r="E7" s="23" t="s">
        <v>559</v>
      </c>
      <c r="F7" s="22">
        <f t="shared" ref="F7:L7" si="1">SUM(F5:F5)</f>
        <v>-37637.269999999553</v>
      </c>
      <c r="G7" s="22">
        <f t="shared" si="1"/>
        <v>37637.269999999997</v>
      </c>
      <c r="H7" s="22">
        <f t="shared" si="1"/>
        <v>0</v>
      </c>
      <c r="I7" s="22">
        <f t="shared" si="1"/>
        <v>4.4383341446518898E-10</v>
      </c>
      <c r="J7" s="22">
        <f t="shared" si="1"/>
        <v>0</v>
      </c>
      <c r="K7" s="22">
        <f t="shared" si="1"/>
        <v>0</v>
      </c>
      <c r="L7" s="22">
        <f t="shared" si="1"/>
        <v>4.4383341446518898E-10</v>
      </c>
      <c r="M7" s="22">
        <f>SUM(M5:M5)</f>
        <v>0</v>
      </c>
      <c r="N7" s="22">
        <f>SUM(N5:N5)</f>
        <v>0</v>
      </c>
      <c r="O7" s="22">
        <f>SUM(O5:O5)</f>
        <v>4.4383341446518898E-10</v>
      </c>
      <c r="P7" s="311"/>
      <c r="Q7" s="311"/>
      <c r="R7" s="311">
        <f>O7+P7-Q7</f>
        <v>4.4383341446518898E-10</v>
      </c>
    </row>
    <row r="8" spans="1:44" ht="17.25" customHeight="1" thickTop="1">
      <c r="F8" s="29"/>
      <c r="G8" s="115"/>
      <c r="H8" s="115"/>
      <c r="I8" s="29"/>
      <c r="J8" s="29"/>
      <c r="L8" s="113" t="s">
        <v>36</v>
      </c>
      <c r="M8" s="113"/>
      <c r="N8" s="113"/>
    </row>
    <row r="9" spans="1:44" ht="17.25" customHeight="1">
      <c r="B9" s="19" t="s">
        <v>560</v>
      </c>
      <c r="C9" s="16">
        <v>520</v>
      </c>
      <c r="D9" s="16">
        <v>5411</v>
      </c>
      <c r="E9" s="17" t="s">
        <v>446</v>
      </c>
      <c r="F9" s="18">
        <f>-7028083.63-1482933.76</f>
        <v>-8511017.3900000006</v>
      </c>
      <c r="G9" s="18">
        <v>0</v>
      </c>
      <c r="H9" s="18">
        <v>-1490468.82</v>
      </c>
      <c r="I9" s="18">
        <f t="shared" ref="I9:I14" si="2">SUM(F9:H9)</f>
        <v>-10001486.210000001</v>
      </c>
      <c r="J9" s="18">
        <v>0</v>
      </c>
      <c r="K9" s="18">
        <v>-1834756</v>
      </c>
      <c r="L9" s="18">
        <f t="shared" ref="L9:L16" si="3">+I9+J9+K9</f>
        <v>-11836242.210000001</v>
      </c>
      <c r="M9" s="18">
        <v>0</v>
      </c>
      <c r="N9" s="18">
        <v>-1198118.4099999999</v>
      </c>
      <c r="O9" s="18">
        <f t="shared" si="0"/>
        <v>-13034360.620000001</v>
      </c>
      <c r="P9" s="18"/>
      <c r="Q9" s="18">
        <f>-1433575.33-139.6-11145.78-102018.15</f>
        <v>-1546878.86</v>
      </c>
      <c r="R9" s="1581">
        <f>SUM(O9:Q9)</f>
        <v>-14581239.48</v>
      </c>
      <c r="S9" s="113">
        <f>R9</f>
        <v>-14581239.48</v>
      </c>
    </row>
    <row r="10" spans="1:44" ht="17.25" customHeight="1">
      <c r="B10" s="16">
        <v>520</v>
      </c>
      <c r="C10" s="16">
        <v>520</v>
      </c>
      <c r="D10" s="16">
        <v>5412</v>
      </c>
      <c r="E10" s="17" t="s">
        <v>447</v>
      </c>
      <c r="F10" s="18">
        <f>-5200229.03-873434</f>
        <v>-6073663.0300000003</v>
      </c>
      <c r="G10" s="18">
        <v>0</v>
      </c>
      <c r="H10" s="18">
        <v>-881682.57</v>
      </c>
      <c r="I10" s="18">
        <f t="shared" si="2"/>
        <v>-6955345.6000000006</v>
      </c>
      <c r="J10" s="18">
        <v>1824371</v>
      </c>
      <c r="K10" s="18">
        <v>0</v>
      </c>
      <c r="L10" s="18">
        <f t="shared" si="3"/>
        <v>-5130974.6000000006</v>
      </c>
      <c r="M10" s="18">
        <v>0</v>
      </c>
      <c r="N10" s="18">
        <v>-274960.69</v>
      </c>
      <c r="O10" s="18">
        <f t="shared" si="0"/>
        <v>-5405935.290000001</v>
      </c>
      <c r="P10" s="18">
        <f>124453.39+124453.39</f>
        <v>248906.78</v>
      </c>
      <c r="Q10" s="18">
        <f>-1458079-9999.96-50448.37-124453.39</f>
        <v>-1642980.72</v>
      </c>
      <c r="R10" s="1581">
        <f t="shared" ref="R10:R16" si="4">SUM(O10:Q10)</f>
        <v>-6800009.2300000004</v>
      </c>
      <c r="S10" s="113">
        <f t="shared" ref="S10:S16" si="5">R10</f>
        <v>-6800009.2300000004</v>
      </c>
      <c r="W10" s="113">
        <v>-6864014.29</v>
      </c>
    </row>
    <row r="11" spans="1:44" ht="17.25" customHeight="1">
      <c r="B11" s="16">
        <v>520</v>
      </c>
      <c r="C11" s="16">
        <v>520</v>
      </c>
      <c r="D11" s="16">
        <v>5413</v>
      </c>
      <c r="E11" s="17" t="s">
        <v>448</v>
      </c>
      <c r="F11" s="18">
        <f>-3505009.29-939141.32</f>
        <v>-4444150.6100000003</v>
      </c>
      <c r="G11" s="18">
        <v>0</v>
      </c>
      <c r="H11" s="18">
        <v>-1120762.79</v>
      </c>
      <c r="I11" s="18">
        <f t="shared" si="2"/>
        <v>-5564913.4000000004</v>
      </c>
      <c r="J11" s="18">
        <v>0</v>
      </c>
      <c r="K11" s="18">
        <v>-3440776.78</v>
      </c>
      <c r="L11" s="18">
        <f t="shared" si="3"/>
        <v>-9005690.1799999997</v>
      </c>
      <c r="M11" s="18">
        <v>0</v>
      </c>
      <c r="N11" s="18">
        <v>-1718122.1</v>
      </c>
      <c r="O11" s="18">
        <f t="shared" si="0"/>
        <v>-10723812.279999999</v>
      </c>
      <c r="P11" s="18">
        <f>139.6+1016592.79+1016592.79</f>
        <v>2033325.1800000002</v>
      </c>
      <c r="Q11" s="18">
        <f>-2677039.61-21787.46-2103481.23-375934.7-1016592.79</f>
        <v>-6194835.79</v>
      </c>
      <c r="R11" s="1581">
        <f t="shared" si="4"/>
        <v>-14885322.890000001</v>
      </c>
      <c r="S11" s="113">
        <f t="shared" si="5"/>
        <v>-14885322.890000001</v>
      </c>
      <c r="U11" s="113">
        <v>-13400851.890000001</v>
      </c>
      <c r="W11" s="113">
        <v>124453.39</v>
      </c>
    </row>
    <row r="12" spans="1:44" ht="17.25" customHeight="1">
      <c r="B12" s="16">
        <v>520</v>
      </c>
      <c r="C12" s="16">
        <v>520</v>
      </c>
      <c r="D12" s="16">
        <v>5414</v>
      </c>
      <c r="E12" s="17" t="s">
        <v>1228</v>
      </c>
      <c r="F12" s="18">
        <f>-21252.74-3417943.76</f>
        <v>-3439196.5</v>
      </c>
      <c r="G12" s="18">
        <v>26779.81</v>
      </c>
      <c r="H12" s="18">
        <v>-2130502.44</v>
      </c>
      <c r="I12" s="18">
        <f t="shared" si="2"/>
        <v>-5542919.1299999999</v>
      </c>
      <c r="J12" s="18">
        <v>0</v>
      </c>
      <c r="K12" s="18">
        <f>-7340078.66+102771.94</f>
        <v>-7237306.7199999997</v>
      </c>
      <c r="L12" s="18">
        <f t="shared" si="3"/>
        <v>-12780225.85</v>
      </c>
      <c r="M12" s="18"/>
      <c r="N12" s="18">
        <v>-5905737.2699999996</v>
      </c>
      <c r="O12" s="18">
        <f t="shared" si="0"/>
        <v>-18685963.119999997</v>
      </c>
      <c r="P12" s="18"/>
      <c r="Q12" s="18">
        <v>-7130000</v>
      </c>
      <c r="R12" s="1581">
        <f t="shared" si="4"/>
        <v>-25815963.119999997</v>
      </c>
      <c r="S12" s="113">
        <v>0</v>
      </c>
      <c r="U12" s="113">
        <v>1016592.79</v>
      </c>
      <c r="W12" s="113">
        <v>124453.39</v>
      </c>
    </row>
    <row r="13" spans="1:44" ht="17.25" customHeight="1">
      <c r="B13" s="16">
        <v>520</v>
      </c>
      <c r="C13" s="16">
        <v>520</v>
      </c>
      <c r="D13" s="16">
        <v>5415</v>
      </c>
      <c r="E13" s="17" t="s">
        <v>1126</v>
      </c>
      <c r="F13" s="18">
        <f>-959.99+320</f>
        <v>-639.99</v>
      </c>
      <c r="G13" s="18">
        <v>320</v>
      </c>
      <c r="H13" s="18">
        <v>0</v>
      </c>
      <c r="I13" s="18">
        <f t="shared" si="2"/>
        <v>-319.99</v>
      </c>
      <c r="J13" s="18">
        <v>0</v>
      </c>
      <c r="K13" s="18">
        <v>0</v>
      </c>
      <c r="L13" s="18">
        <f t="shared" si="3"/>
        <v>-319.99</v>
      </c>
      <c r="M13" s="18"/>
      <c r="N13" s="18"/>
      <c r="O13" s="18">
        <f t="shared" si="0"/>
        <v>-319.99</v>
      </c>
      <c r="P13" s="18"/>
      <c r="Q13" s="18"/>
      <c r="R13" s="1581">
        <f t="shared" si="4"/>
        <v>-319.99</v>
      </c>
      <c r="S13" s="113">
        <v>0</v>
      </c>
      <c r="U13" s="113">
        <v>1016592.79</v>
      </c>
    </row>
    <row r="14" spans="1:44" ht="17.25" customHeight="1">
      <c r="B14" s="16">
        <v>520</v>
      </c>
      <c r="C14" s="16">
        <v>520</v>
      </c>
      <c r="D14" s="16">
        <v>5417</v>
      </c>
      <c r="E14" s="17" t="s">
        <v>1131</v>
      </c>
      <c r="F14" s="18">
        <v>0</v>
      </c>
      <c r="G14" s="18">
        <v>0</v>
      </c>
      <c r="H14" s="18">
        <v>-82528503</v>
      </c>
      <c r="I14" s="18">
        <f t="shared" si="2"/>
        <v>-82528503</v>
      </c>
      <c r="J14" s="18">
        <v>0</v>
      </c>
      <c r="K14" s="18">
        <v>0</v>
      </c>
      <c r="L14" s="18">
        <f t="shared" si="3"/>
        <v>-82528503</v>
      </c>
      <c r="M14" s="18">
        <v>18669220</v>
      </c>
      <c r="N14" s="18"/>
      <c r="O14" s="18">
        <f t="shared" si="0"/>
        <v>-63859283</v>
      </c>
      <c r="P14" s="18">
        <f>158500+12299080+12087120.07</f>
        <v>24544700.07</v>
      </c>
      <c r="Q14" s="18">
        <f>-11094070.07-12942000</f>
        <v>-24036070.07</v>
      </c>
      <c r="R14" s="1581">
        <f t="shared" si="4"/>
        <v>-63350653</v>
      </c>
      <c r="U14" s="113">
        <v>139.6</v>
      </c>
      <c r="W14" s="113">
        <f>SUM(W10:W13)</f>
        <v>-6615107.5100000007</v>
      </c>
    </row>
    <row r="15" spans="1:44" ht="17.25" customHeight="1">
      <c r="B15" s="16">
        <v>520</v>
      </c>
      <c r="C15" s="16">
        <v>520</v>
      </c>
      <c r="D15" s="16">
        <v>5418</v>
      </c>
      <c r="E15" s="17" t="s">
        <v>2029</v>
      </c>
      <c r="F15" s="29"/>
      <c r="G15" s="29"/>
      <c r="H15" s="29"/>
      <c r="I15" s="29"/>
      <c r="J15" s="29"/>
      <c r="K15" s="29"/>
      <c r="L15" s="18"/>
      <c r="M15" s="18"/>
      <c r="N15" s="18">
        <v>-251705.14</v>
      </c>
      <c r="O15" s="18">
        <f t="shared" si="0"/>
        <v>-251705.14</v>
      </c>
      <c r="P15" s="18">
        <v>181101.82</v>
      </c>
      <c r="Q15" s="18"/>
      <c r="R15" s="1581">
        <f t="shared" si="4"/>
        <v>-70603.320000000007</v>
      </c>
      <c r="S15" s="113">
        <f t="shared" si="5"/>
        <v>-70603.320000000007</v>
      </c>
      <c r="U15" s="113">
        <f>SUM(U11:U14)</f>
        <v>-11367526.710000003</v>
      </c>
    </row>
    <row r="16" spans="1:44" ht="17.25" customHeight="1">
      <c r="B16" s="847">
        <v>520</v>
      </c>
      <c r="C16" s="19" t="s">
        <v>560</v>
      </c>
      <c r="D16" s="16">
        <v>5421</v>
      </c>
      <c r="E16" s="17" t="s">
        <v>1674</v>
      </c>
      <c r="K16" s="113">
        <v>-138.22</v>
      </c>
      <c r="L16" s="18">
        <f t="shared" si="3"/>
        <v>-138.22</v>
      </c>
      <c r="M16" s="18">
        <v>0</v>
      </c>
      <c r="N16" s="18">
        <v>-138.56</v>
      </c>
      <c r="O16" s="18">
        <f t="shared" si="0"/>
        <v>-276.77999999999997</v>
      </c>
      <c r="P16" s="18"/>
      <c r="Q16" s="18"/>
      <c r="R16" s="18">
        <f t="shared" si="4"/>
        <v>-276.77999999999997</v>
      </c>
      <c r="S16" s="113">
        <f t="shared" si="5"/>
        <v>-276.77999999999997</v>
      </c>
    </row>
    <row r="17" spans="1:18" ht="17.25" customHeight="1" thickBot="1">
      <c r="L17" s="29"/>
      <c r="M17" s="29"/>
      <c r="N17" s="29"/>
      <c r="O17" s="29"/>
    </row>
    <row r="18" spans="1:18" ht="17.25" customHeight="1" thickTop="1" thickBot="1">
      <c r="B18" s="25" t="s">
        <v>558</v>
      </c>
      <c r="C18" s="26"/>
      <c r="D18" s="24"/>
      <c r="E18" s="23" t="s">
        <v>353</v>
      </c>
      <c r="F18" s="22">
        <f>SUM(F9:F14)</f>
        <v>-22468667.52</v>
      </c>
      <c r="G18" s="22">
        <f>SUM(G9:G14)</f>
        <v>27099.81</v>
      </c>
      <c r="H18" s="22">
        <f>SUM(H9:H14)</f>
        <v>-88151919.620000005</v>
      </c>
      <c r="I18" s="22">
        <f>SUM(I9:I14)</f>
        <v>-110593487.33</v>
      </c>
      <c r="J18" s="22">
        <f>SUM(J9:J14)</f>
        <v>1824371</v>
      </c>
      <c r="K18" s="22">
        <f t="shared" ref="K18:R18" si="6">SUM(K9:K16)</f>
        <v>-12512977.720000001</v>
      </c>
      <c r="L18" s="116">
        <f t="shared" si="6"/>
        <v>-121282094.05000001</v>
      </c>
      <c r="M18" s="116">
        <f t="shared" si="6"/>
        <v>18669220</v>
      </c>
      <c r="N18" s="116">
        <f t="shared" si="6"/>
        <v>-9348782.1699999999</v>
      </c>
      <c r="O18" s="22">
        <f t="shared" si="6"/>
        <v>-111961656.22000001</v>
      </c>
      <c r="P18" s="22">
        <f t="shared" si="6"/>
        <v>27008033.850000001</v>
      </c>
      <c r="Q18" s="22">
        <f t="shared" si="6"/>
        <v>-40550765.439999998</v>
      </c>
      <c r="R18" s="22">
        <f t="shared" si="6"/>
        <v>-125504387.81</v>
      </c>
    </row>
    <row r="19" spans="1:18" ht="17.25" customHeight="1" thickTop="1">
      <c r="M19" s="113"/>
      <c r="N19" s="113"/>
      <c r="O19" s="113">
        <f t="shared" si="0"/>
        <v>0</v>
      </c>
    </row>
    <row r="20" spans="1:18" ht="17.25" customHeight="1">
      <c r="A20" s="21">
        <v>5</v>
      </c>
      <c r="B20" s="16" t="s">
        <v>560</v>
      </c>
      <c r="C20" s="16" t="s">
        <v>561</v>
      </c>
      <c r="D20" s="16" t="s">
        <v>562</v>
      </c>
      <c r="E20" s="17" t="s">
        <v>563</v>
      </c>
      <c r="F20" s="18">
        <v>-5887481.4100000001</v>
      </c>
      <c r="G20" s="18">
        <v>318925.52</v>
      </c>
      <c r="H20" s="18">
        <v>-82519.28</v>
      </c>
      <c r="I20" s="18">
        <f>SUM(F20:H20)</f>
        <v>-5651075.1700000009</v>
      </c>
      <c r="J20" s="18">
        <v>624068.84</v>
      </c>
      <c r="K20" s="18">
        <v>-143551.78</v>
      </c>
      <c r="L20" s="18">
        <f>+I20+J20+K20</f>
        <v>-5170558.1100000013</v>
      </c>
      <c r="M20" s="18">
        <v>182067.56</v>
      </c>
      <c r="N20" s="18">
        <v>-68618.19</v>
      </c>
      <c r="O20" s="18">
        <f>L20+M20+N20</f>
        <v>-5057108.7400000021</v>
      </c>
      <c r="P20" s="18">
        <v>5691.86</v>
      </c>
      <c r="Q20" s="18">
        <f>-1027509.61-2372465.94</f>
        <v>-3399975.55</v>
      </c>
      <c r="R20" s="18">
        <f t="shared" ref="R20:R23" si="7">SUM(O20:Q20)</f>
        <v>-8451392.4300000016</v>
      </c>
    </row>
    <row r="21" spans="1:18" ht="17.25" customHeight="1">
      <c r="B21" s="16">
        <v>520</v>
      </c>
      <c r="C21" s="16">
        <v>540</v>
      </c>
      <c r="D21" s="16">
        <v>5402</v>
      </c>
      <c r="E21" s="17" t="s">
        <v>1739</v>
      </c>
      <c r="F21" s="18"/>
      <c r="G21" s="18"/>
      <c r="H21" s="18"/>
      <c r="I21" s="18"/>
      <c r="J21" s="18"/>
      <c r="K21" s="18">
        <v>-624068.84</v>
      </c>
      <c r="L21" s="18">
        <f>+I21+J21+K21</f>
        <v>-624068.84</v>
      </c>
      <c r="M21" s="18">
        <v>57454.33</v>
      </c>
      <c r="N21" s="18"/>
      <c r="O21" s="18">
        <f t="shared" ref="O21:O41" si="8">L21+M21+N21</f>
        <v>-566614.51</v>
      </c>
      <c r="P21" s="18">
        <v>566614.51</v>
      </c>
      <c r="Q21" s="18"/>
      <c r="R21" s="18">
        <f t="shared" si="7"/>
        <v>0</v>
      </c>
    </row>
    <row r="22" spans="1:18" ht="17.25" customHeight="1">
      <c r="B22" s="16">
        <v>520</v>
      </c>
      <c r="C22" s="16">
        <v>540</v>
      </c>
      <c r="D22" s="16">
        <v>5403</v>
      </c>
      <c r="E22" s="17" t="s">
        <v>1738</v>
      </c>
      <c r="F22" s="18"/>
      <c r="G22" s="18"/>
      <c r="H22" s="18"/>
      <c r="I22" s="18"/>
      <c r="J22" s="18"/>
      <c r="K22" s="18">
        <v>-3223927.54</v>
      </c>
      <c r="L22" s="18">
        <f>+I22+J22+K22</f>
        <v>-3223927.54</v>
      </c>
      <c r="M22" s="18">
        <f>1181176.24+374648.1</f>
        <v>1555824.3399999999</v>
      </c>
      <c r="N22" s="18">
        <v>0</v>
      </c>
      <c r="O22" s="18">
        <f>SUM(L22:N22)</f>
        <v>-1668103.2000000002</v>
      </c>
      <c r="P22" s="18"/>
      <c r="Q22" s="18">
        <v>-419890.57</v>
      </c>
      <c r="R22" s="18">
        <f t="shared" si="7"/>
        <v>-2087993.7700000003</v>
      </c>
    </row>
    <row r="23" spans="1:18" ht="17.25" customHeight="1">
      <c r="B23" s="16">
        <v>520</v>
      </c>
      <c r="C23" s="16">
        <v>520</v>
      </c>
      <c r="D23" s="16">
        <v>5404</v>
      </c>
      <c r="E23" s="17" t="s">
        <v>1127</v>
      </c>
      <c r="F23" s="18">
        <v>-31894.93</v>
      </c>
      <c r="G23" s="18">
        <v>0</v>
      </c>
      <c r="H23" s="18">
        <v>-201980.16</v>
      </c>
      <c r="I23" s="18">
        <f>SUM(F23:H23)</f>
        <v>-233875.09</v>
      </c>
      <c r="J23" s="18">
        <v>54366.92</v>
      </c>
      <c r="K23" s="18">
        <v>0</v>
      </c>
      <c r="L23" s="18">
        <f>+I23+J23+K23</f>
        <v>-179508.16999999998</v>
      </c>
      <c r="M23" s="18"/>
      <c r="N23" s="18"/>
      <c r="O23" s="18">
        <f t="shared" si="8"/>
        <v>-179508.16999999998</v>
      </c>
      <c r="P23" s="18"/>
      <c r="Q23" s="18">
        <v>179508.17</v>
      </c>
      <c r="R23" s="18">
        <f t="shared" si="7"/>
        <v>0</v>
      </c>
    </row>
    <row r="24" spans="1:18" ht="17.25" customHeight="1" thickBot="1">
      <c r="B24" s="111"/>
      <c r="C24" s="111"/>
      <c r="D24" s="111"/>
      <c r="M24" s="113"/>
      <c r="N24" s="113"/>
      <c r="O24" s="113">
        <f t="shared" si="8"/>
        <v>0</v>
      </c>
    </row>
    <row r="25" spans="1:18" ht="17.25" customHeight="1" thickTop="1" thickBot="1">
      <c r="B25" s="25" t="s">
        <v>558</v>
      </c>
      <c r="C25" s="26"/>
      <c r="D25" s="24"/>
      <c r="E25" s="23" t="s">
        <v>553</v>
      </c>
      <c r="F25" s="22">
        <f t="shared" ref="F25:R25" si="9">SUM(F20:F23)</f>
        <v>-5919376.3399999999</v>
      </c>
      <c r="G25" s="22">
        <f t="shared" si="9"/>
        <v>318925.52</v>
      </c>
      <c r="H25" s="22">
        <f t="shared" si="9"/>
        <v>-284499.44</v>
      </c>
      <c r="I25" s="22">
        <f t="shared" si="9"/>
        <v>-5884950.2600000007</v>
      </c>
      <c r="J25" s="22">
        <f t="shared" si="9"/>
        <v>678435.76</v>
      </c>
      <c r="K25" s="22">
        <f t="shared" si="9"/>
        <v>-3991548.16</v>
      </c>
      <c r="L25" s="22">
        <f t="shared" si="9"/>
        <v>-9198062.660000002</v>
      </c>
      <c r="M25" s="22">
        <f t="shared" si="9"/>
        <v>1795346.23</v>
      </c>
      <c r="N25" s="22">
        <f t="shared" si="9"/>
        <v>-68618.19</v>
      </c>
      <c r="O25" s="22">
        <f t="shared" si="9"/>
        <v>-7471334.620000002</v>
      </c>
      <c r="P25" s="22">
        <f t="shared" si="9"/>
        <v>572306.37</v>
      </c>
      <c r="Q25" s="22">
        <f t="shared" si="9"/>
        <v>-3640357.9499999997</v>
      </c>
      <c r="R25" s="1620">
        <f t="shared" si="9"/>
        <v>-10539386.200000001</v>
      </c>
    </row>
    <row r="26" spans="1:18" ht="17.25" customHeight="1" thickTop="1" thickBot="1">
      <c r="M26" s="113"/>
      <c r="N26" s="113"/>
      <c r="O26" s="113">
        <f t="shared" si="8"/>
        <v>0</v>
      </c>
    </row>
    <row r="27" spans="1:18" ht="17.25" customHeight="1" thickTop="1" thickBot="1">
      <c r="B27" s="25" t="s">
        <v>1459</v>
      </c>
      <c r="C27" s="26"/>
      <c r="D27" s="24"/>
      <c r="E27" s="23" t="s">
        <v>564</v>
      </c>
      <c r="F27" s="22">
        <f>+F25+F18</f>
        <v>-28388043.859999999</v>
      </c>
      <c r="G27" s="22">
        <f t="shared" ref="G27:R27" si="10">+G25+G18</f>
        <v>346025.33</v>
      </c>
      <c r="H27" s="22">
        <f t="shared" si="10"/>
        <v>-88436419.060000002</v>
      </c>
      <c r="I27" s="22">
        <f t="shared" si="10"/>
        <v>-116478437.59</v>
      </c>
      <c r="J27" s="22">
        <f t="shared" si="10"/>
        <v>2502806.7599999998</v>
      </c>
      <c r="K27" s="22">
        <f t="shared" si="10"/>
        <v>-16504525.880000001</v>
      </c>
      <c r="L27" s="22">
        <f t="shared" si="10"/>
        <v>-130480156.71000001</v>
      </c>
      <c r="M27" s="22">
        <f t="shared" si="10"/>
        <v>20464566.23</v>
      </c>
      <c r="N27" s="22">
        <f t="shared" si="10"/>
        <v>-9417400.3599999994</v>
      </c>
      <c r="O27" s="22">
        <f t="shared" si="10"/>
        <v>-119432990.84000002</v>
      </c>
      <c r="P27" s="22">
        <f t="shared" si="10"/>
        <v>27580340.220000003</v>
      </c>
      <c r="Q27" s="22">
        <f t="shared" si="10"/>
        <v>-44191123.390000001</v>
      </c>
      <c r="R27" s="22">
        <f t="shared" si="10"/>
        <v>-136043774.00999999</v>
      </c>
    </row>
    <row r="28" spans="1:18" ht="17.25" customHeight="1" thickTop="1">
      <c r="F28" s="29"/>
      <c r="G28" s="115"/>
      <c r="H28" s="115"/>
      <c r="I28" s="29"/>
      <c r="J28" s="29"/>
      <c r="M28" s="113"/>
      <c r="N28" s="113"/>
      <c r="O28" s="113">
        <f t="shared" si="8"/>
        <v>0</v>
      </c>
    </row>
    <row r="29" spans="1:18" ht="17.25" customHeight="1">
      <c r="A29" s="21">
        <v>5</v>
      </c>
      <c r="B29" s="16" t="s">
        <v>565</v>
      </c>
      <c r="C29" s="16" t="s">
        <v>565</v>
      </c>
      <c r="D29" s="16" t="s">
        <v>566</v>
      </c>
      <c r="E29" s="17" t="s">
        <v>567</v>
      </c>
      <c r="F29" s="18">
        <f>26914053.26+642000-40027243.56</f>
        <v>-12471190.300000001</v>
      </c>
      <c r="G29" s="18">
        <v>93936519.599999994</v>
      </c>
      <c r="H29" s="18">
        <v>-103677909.58</v>
      </c>
      <c r="I29" s="18">
        <f>SUM(F29:H29)</f>
        <v>-22212580.280000001</v>
      </c>
      <c r="J29" s="18">
        <f>118791994.93+3223927.54</f>
        <v>122015922.47000001</v>
      </c>
      <c r="K29" s="18">
        <f>-188471775.91-102771.94</f>
        <v>-188574547.84999999</v>
      </c>
      <c r="L29" s="18">
        <f>I29+J29+K29+0.22</f>
        <v>-88771205.439999983</v>
      </c>
      <c r="M29" s="18">
        <v>138821084.36000001</v>
      </c>
      <c r="N29" s="310">
        <v>-117554143.40000001</v>
      </c>
      <c r="O29" s="18">
        <f t="shared" si="8"/>
        <v>-67504264.479999974</v>
      </c>
      <c r="P29" s="18">
        <f>245827119.62+18480+28802.29+1069273.83+164865+7844979.81+375934.7+1016592.79+124453.39+44703.18+2162200.3+2372465.94</f>
        <v>261049870.84999999</v>
      </c>
      <c r="Q29" s="18">
        <f>-262592079.28-12079.48-158500-38699.24-137137-2149013.16-1406448.48</f>
        <v>-266493956.63999999</v>
      </c>
      <c r="R29" s="18">
        <f t="shared" ref="R29" si="11">SUM(O29:Q29)</f>
        <v>-72948350.269999981</v>
      </c>
    </row>
    <row r="30" spans="1:18" ht="17.25" customHeight="1" thickBot="1">
      <c r="B30" s="27"/>
      <c r="C30" s="27"/>
      <c r="D30" s="27"/>
      <c r="E30" s="28"/>
      <c r="F30" s="29"/>
      <c r="G30" s="115"/>
      <c r="H30" s="115"/>
      <c r="I30" s="29"/>
      <c r="J30" s="29"/>
      <c r="K30" s="29"/>
      <c r="L30" s="29"/>
      <c r="M30" s="113"/>
      <c r="N30" s="113"/>
      <c r="O30" s="113">
        <f t="shared" si="8"/>
        <v>0</v>
      </c>
    </row>
    <row r="31" spans="1:18" ht="17.25" customHeight="1" thickTop="1" thickBot="1">
      <c r="A31" s="21" t="s">
        <v>36</v>
      </c>
      <c r="B31" s="25" t="s">
        <v>1461</v>
      </c>
      <c r="C31" s="26"/>
      <c r="D31" s="24"/>
      <c r="E31" s="23" t="s">
        <v>568</v>
      </c>
      <c r="F31" s="22">
        <f>SUM(F29:F30)</f>
        <v>-12471190.300000001</v>
      </c>
      <c r="G31" s="22">
        <f>SUM(G29:G30)</f>
        <v>93936519.599999994</v>
      </c>
      <c r="H31" s="22">
        <f>SUM(H29:H29)</f>
        <v>-103677909.58</v>
      </c>
      <c r="I31" s="22">
        <f>SUM(I29:I29)</f>
        <v>-22212580.280000001</v>
      </c>
      <c r="J31" s="22">
        <f>SUM(J29:J30)</f>
        <v>122015922.47000001</v>
      </c>
      <c r="K31" s="22">
        <f>SUM(K29:K30)</f>
        <v>-188574547.84999999</v>
      </c>
      <c r="L31" s="22">
        <f t="shared" ref="L31:R31" si="12">SUM(L29:L29)</f>
        <v>-88771205.439999983</v>
      </c>
      <c r="M31" s="22">
        <f t="shared" si="12"/>
        <v>138821084.36000001</v>
      </c>
      <c r="N31" s="22">
        <f t="shared" si="12"/>
        <v>-117554143.40000001</v>
      </c>
      <c r="O31" s="22">
        <f t="shared" si="12"/>
        <v>-67504264.479999974</v>
      </c>
      <c r="P31" s="22">
        <f t="shared" si="12"/>
        <v>261049870.84999999</v>
      </c>
      <c r="Q31" s="22">
        <f t="shared" si="12"/>
        <v>-266493956.63999999</v>
      </c>
      <c r="R31" s="1620">
        <f t="shared" si="12"/>
        <v>-72948350.269999981</v>
      </c>
    </row>
    <row r="32" spans="1:18" ht="17.25" customHeight="1" thickTop="1">
      <c r="B32" s="111"/>
      <c r="C32" s="111"/>
      <c r="D32" s="111"/>
      <c r="F32" s="29"/>
      <c r="G32" s="115"/>
      <c r="H32" s="115"/>
      <c r="I32" s="113">
        <f>SUM(F32:H32)</f>
        <v>0</v>
      </c>
      <c r="J32" s="29"/>
      <c r="M32" s="113"/>
      <c r="N32" s="113"/>
      <c r="O32" s="113">
        <f t="shared" si="8"/>
        <v>0</v>
      </c>
    </row>
    <row r="33" spans="1:44" ht="17.25" customHeight="1">
      <c r="B33" s="111"/>
      <c r="C33" s="111"/>
      <c r="D33" s="111"/>
      <c r="M33" s="113"/>
      <c r="N33" s="113"/>
      <c r="O33" s="113">
        <f t="shared" si="8"/>
        <v>0</v>
      </c>
    </row>
    <row r="34" spans="1:44" s="117" customFormat="1" ht="17.25" customHeight="1">
      <c r="A34" s="117">
        <v>5</v>
      </c>
      <c r="B34" s="16" t="s">
        <v>569</v>
      </c>
      <c r="C34" s="16" t="s">
        <v>569</v>
      </c>
      <c r="D34" s="16" t="s">
        <v>570</v>
      </c>
      <c r="E34" s="17" t="s">
        <v>571</v>
      </c>
      <c r="F34" s="18">
        <v>-704172.19</v>
      </c>
      <c r="G34" s="18">
        <v>879662.85</v>
      </c>
      <c r="H34" s="18">
        <v>-703181.35</v>
      </c>
      <c r="I34" s="18">
        <f t="shared" ref="I34:I46" si="13">SUM(F34:H34)</f>
        <v>-527690.68999999994</v>
      </c>
      <c r="J34" s="18">
        <v>3996892.52</v>
      </c>
      <c r="K34" s="18">
        <v>-3915252.92</v>
      </c>
      <c r="L34" s="18">
        <f t="shared" ref="L34:L46" si="14">+I34+J34+K34</f>
        <v>-446051.08999999985</v>
      </c>
      <c r="M34" s="18">
        <v>92163.43</v>
      </c>
      <c r="N34" s="18"/>
      <c r="O34" s="18">
        <f t="shared" si="8"/>
        <v>-353887.65999999986</v>
      </c>
      <c r="P34" s="18">
        <v>145876.54</v>
      </c>
      <c r="Q34" s="18">
        <v>-41832.67</v>
      </c>
      <c r="R34" s="18">
        <f t="shared" ref="R34:R46" si="15">SUM(O34:Q34)</f>
        <v>-249843.78999999986</v>
      </c>
      <c r="S34" s="113"/>
      <c r="T34" s="113"/>
      <c r="U34" s="113"/>
      <c r="V34" s="113"/>
      <c r="W34" s="113"/>
      <c r="X34" s="114"/>
      <c r="Y34" s="114"/>
      <c r="Z34" s="114"/>
      <c r="AA34" s="114"/>
      <c r="AB34" s="114"/>
      <c r="AC34" s="114"/>
      <c r="AD34" s="114"/>
      <c r="AE34" s="114"/>
      <c r="AF34" s="114"/>
      <c r="AG34" s="114"/>
      <c r="AH34" s="114"/>
      <c r="AI34" s="114"/>
      <c r="AJ34" s="114"/>
      <c r="AK34" s="114"/>
      <c r="AL34" s="114"/>
      <c r="AM34" s="114"/>
      <c r="AN34" s="114"/>
      <c r="AO34" s="114"/>
      <c r="AP34" s="114"/>
      <c r="AQ34" s="114"/>
      <c r="AR34" s="114"/>
    </row>
    <row r="35" spans="1:44" s="117" customFormat="1" ht="17.25" customHeight="1">
      <c r="A35" s="117">
        <v>5</v>
      </c>
      <c r="B35" s="16" t="s">
        <v>569</v>
      </c>
      <c r="C35" s="16" t="s">
        <v>569</v>
      </c>
      <c r="D35" s="16" t="s">
        <v>572</v>
      </c>
      <c r="E35" s="17" t="s">
        <v>573</v>
      </c>
      <c r="F35" s="18">
        <v>-2756180.69</v>
      </c>
      <c r="G35" s="18">
        <v>963243.49</v>
      </c>
      <c r="H35" s="18">
        <v>0</v>
      </c>
      <c r="I35" s="18">
        <f t="shared" si="13"/>
        <v>-1792937.2</v>
      </c>
      <c r="J35" s="18">
        <v>531227.79</v>
      </c>
      <c r="K35" s="18">
        <v>0</v>
      </c>
      <c r="L35" s="18">
        <f t="shared" si="14"/>
        <v>-1261709.4099999999</v>
      </c>
      <c r="M35" s="18">
        <v>595086.85</v>
      </c>
      <c r="N35" s="18"/>
      <c r="O35" s="18">
        <f t="shared" si="8"/>
        <v>-666622.55999999994</v>
      </c>
      <c r="P35" s="18">
        <v>716388.36</v>
      </c>
      <c r="Q35" s="18">
        <v>-49765.8</v>
      </c>
      <c r="R35" s="18">
        <f t="shared" si="15"/>
        <v>0</v>
      </c>
      <c r="S35" s="113"/>
      <c r="T35" s="113"/>
      <c r="U35" s="113"/>
      <c r="V35" s="113"/>
      <c r="W35" s="113"/>
      <c r="X35" s="114"/>
      <c r="Y35" s="114"/>
      <c r="Z35" s="114"/>
      <c r="AA35" s="114"/>
      <c r="AB35" s="114"/>
      <c r="AC35" s="114"/>
      <c r="AD35" s="114"/>
      <c r="AE35" s="114"/>
      <c r="AF35" s="114"/>
      <c r="AG35" s="114"/>
      <c r="AH35" s="114"/>
      <c r="AI35" s="114"/>
      <c r="AJ35" s="114"/>
      <c r="AK35" s="114"/>
      <c r="AL35" s="114"/>
      <c r="AM35" s="114"/>
      <c r="AN35" s="114"/>
      <c r="AO35" s="114"/>
      <c r="AP35" s="114"/>
      <c r="AQ35" s="114"/>
      <c r="AR35" s="114"/>
    </row>
    <row r="36" spans="1:44" s="117" customFormat="1" ht="17.25" customHeight="1">
      <c r="A36" s="117">
        <v>5</v>
      </c>
      <c r="B36" s="16" t="s">
        <v>569</v>
      </c>
      <c r="C36" s="16" t="s">
        <v>569</v>
      </c>
      <c r="D36" s="16" t="s">
        <v>574</v>
      </c>
      <c r="E36" s="17" t="s">
        <v>575</v>
      </c>
      <c r="F36" s="18">
        <v>-19868.04</v>
      </c>
      <c r="G36" s="18">
        <v>19868.04</v>
      </c>
      <c r="H36" s="18"/>
      <c r="I36" s="18">
        <f t="shared" si="13"/>
        <v>0</v>
      </c>
      <c r="J36" s="18">
        <v>463514.94</v>
      </c>
      <c r="K36" s="18">
        <v>-2628051.2400000002</v>
      </c>
      <c r="L36" s="18">
        <f t="shared" si="14"/>
        <v>-2164536.3000000003</v>
      </c>
      <c r="M36" s="18">
        <v>506807.87</v>
      </c>
      <c r="N36" s="18">
        <v>-88992.18</v>
      </c>
      <c r="O36" s="18">
        <f t="shared" si="8"/>
        <v>-1746720.61</v>
      </c>
      <c r="P36" s="18">
        <v>667785.15</v>
      </c>
      <c r="Q36" s="18">
        <v>-11033.83</v>
      </c>
      <c r="R36" s="18">
        <f t="shared" si="15"/>
        <v>-1089969.29</v>
      </c>
      <c r="S36" s="113"/>
      <c r="T36" s="113"/>
      <c r="U36" s="113"/>
      <c r="V36" s="113"/>
      <c r="W36" s="113"/>
      <c r="X36" s="114"/>
      <c r="Y36" s="114"/>
      <c r="Z36" s="114"/>
      <c r="AA36" s="114"/>
      <c r="AB36" s="114"/>
      <c r="AC36" s="114"/>
      <c r="AD36" s="114"/>
      <c r="AE36" s="114"/>
      <c r="AF36" s="114"/>
      <c r="AG36" s="114"/>
      <c r="AH36" s="114"/>
      <c r="AI36" s="114"/>
      <c r="AJ36" s="114"/>
      <c r="AK36" s="114"/>
      <c r="AL36" s="114"/>
      <c r="AM36" s="114"/>
      <c r="AN36" s="114"/>
      <c r="AO36" s="114"/>
      <c r="AP36" s="114"/>
      <c r="AQ36" s="114"/>
      <c r="AR36" s="114"/>
    </row>
    <row r="37" spans="1:44" s="117" customFormat="1" ht="17.25" customHeight="1">
      <c r="A37" s="117">
        <v>5</v>
      </c>
      <c r="B37" s="16" t="s">
        <v>569</v>
      </c>
      <c r="C37" s="16" t="s">
        <v>569</v>
      </c>
      <c r="D37" s="16" t="s">
        <v>576</v>
      </c>
      <c r="E37" s="17" t="s">
        <v>577</v>
      </c>
      <c r="F37" s="18">
        <v>-403522.09</v>
      </c>
      <c r="G37" s="18">
        <v>78860.61</v>
      </c>
      <c r="H37" s="18"/>
      <c r="I37" s="18">
        <f t="shared" si="13"/>
        <v>-324661.48000000004</v>
      </c>
      <c r="J37" s="18">
        <v>92100.24</v>
      </c>
      <c r="K37" s="18">
        <v>0</v>
      </c>
      <c r="L37" s="18">
        <f t="shared" si="14"/>
        <v>-232561.24000000005</v>
      </c>
      <c r="M37" s="18">
        <v>107375.96</v>
      </c>
      <c r="N37" s="18"/>
      <c r="O37" s="18">
        <f t="shared" si="8"/>
        <v>-125185.28000000004</v>
      </c>
      <c r="P37" s="18">
        <v>125185.28</v>
      </c>
      <c r="Q37" s="18"/>
      <c r="R37" s="18">
        <f t="shared" si="15"/>
        <v>0</v>
      </c>
      <c r="S37" s="113"/>
      <c r="T37" s="113"/>
      <c r="U37" s="113"/>
      <c r="V37" s="113"/>
      <c r="W37" s="113"/>
      <c r="X37" s="114"/>
      <c r="Y37" s="114"/>
      <c r="Z37" s="114"/>
      <c r="AA37" s="114"/>
      <c r="AB37" s="114"/>
      <c r="AC37" s="114"/>
      <c r="AD37" s="114"/>
      <c r="AE37" s="114"/>
      <c r="AF37" s="114"/>
      <c r="AG37" s="114"/>
      <c r="AH37" s="114"/>
      <c r="AI37" s="114"/>
      <c r="AJ37" s="114"/>
      <c r="AK37" s="114"/>
      <c r="AL37" s="114"/>
      <c r="AM37" s="114"/>
      <c r="AN37" s="114"/>
      <c r="AO37" s="114"/>
      <c r="AP37" s="114"/>
      <c r="AQ37" s="114"/>
      <c r="AR37" s="114"/>
    </row>
    <row r="38" spans="1:44" s="117" customFormat="1" ht="17.25" customHeight="1">
      <c r="A38" s="117">
        <v>5</v>
      </c>
      <c r="B38" s="16" t="s">
        <v>569</v>
      </c>
      <c r="C38" s="16" t="s">
        <v>569</v>
      </c>
      <c r="D38" s="16" t="s">
        <v>578</v>
      </c>
      <c r="E38" s="17" t="s">
        <v>579</v>
      </c>
      <c r="F38" s="18">
        <v>-951281.16</v>
      </c>
      <c r="G38" s="18">
        <v>21017.01</v>
      </c>
      <c r="H38" s="18"/>
      <c r="I38" s="18">
        <f t="shared" si="13"/>
        <v>-930264.15</v>
      </c>
      <c r="J38" s="18">
        <v>66437.740000000005</v>
      </c>
      <c r="K38" s="18">
        <v>0</v>
      </c>
      <c r="L38" s="18">
        <f t="shared" si="14"/>
        <v>-863826.41</v>
      </c>
      <c r="M38" s="18">
        <v>26264.400000000001</v>
      </c>
      <c r="N38" s="18">
        <v>-5428.52</v>
      </c>
      <c r="O38" s="18">
        <f t="shared" si="8"/>
        <v>-842990.53</v>
      </c>
      <c r="P38" s="18">
        <v>34061.93</v>
      </c>
      <c r="Q38" s="18">
        <v>-9913.85</v>
      </c>
      <c r="R38" s="18">
        <f t="shared" si="15"/>
        <v>-818842.45</v>
      </c>
      <c r="S38" s="113"/>
      <c r="T38" s="113"/>
      <c r="U38" s="113"/>
      <c r="V38" s="113"/>
      <c r="W38" s="113"/>
      <c r="X38" s="114"/>
      <c r="Y38" s="114"/>
      <c r="Z38" s="114"/>
      <c r="AA38" s="114"/>
      <c r="AB38" s="114"/>
      <c r="AC38" s="114"/>
      <c r="AD38" s="114"/>
      <c r="AE38" s="114"/>
      <c r="AF38" s="114"/>
      <c r="AG38" s="114"/>
      <c r="AH38" s="114"/>
      <c r="AI38" s="114"/>
      <c r="AJ38" s="114"/>
      <c r="AK38" s="114"/>
      <c r="AL38" s="114"/>
      <c r="AM38" s="114"/>
      <c r="AN38" s="114"/>
      <c r="AO38" s="114"/>
      <c r="AP38" s="114"/>
      <c r="AQ38" s="114"/>
      <c r="AR38" s="114"/>
    </row>
    <row r="39" spans="1:44" s="117" customFormat="1" ht="17.25" customHeight="1">
      <c r="A39" s="117">
        <v>5</v>
      </c>
      <c r="B39" s="16" t="s">
        <v>569</v>
      </c>
      <c r="C39" s="16" t="s">
        <v>569</v>
      </c>
      <c r="D39" s="16" t="s">
        <v>580</v>
      </c>
      <c r="E39" s="17" t="s">
        <v>581</v>
      </c>
      <c r="F39" s="18">
        <v>-420630.21</v>
      </c>
      <c r="G39" s="18">
        <v>78715.210000000006</v>
      </c>
      <c r="H39" s="18"/>
      <c r="I39" s="18">
        <f t="shared" si="13"/>
        <v>-341915</v>
      </c>
      <c r="J39" s="18">
        <v>101305.7</v>
      </c>
      <c r="K39" s="18">
        <v>0</v>
      </c>
      <c r="L39" s="18">
        <f t="shared" si="14"/>
        <v>-240609.3</v>
      </c>
      <c r="M39" s="18">
        <v>113483.68</v>
      </c>
      <c r="N39" s="18"/>
      <c r="O39" s="18">
        <f t="shared" si="8"/>
        <v>-127125.62</v>
      </c>
      <c r="P39" s="18">
        <v>178398.49</v>
      </c>
      <c r="Q39" s="18">
        <v>-51272.87</v>
      </c>
      <c r="R39" s="18">
        <f t="shared" si="15"/>
        <v>0</v>
      </c>
      <c r="S39" s="113"/>
      <c r="T39" s="113"/>
      <c r="U39" s="113"/>
      <c r="V39" s="113"/>
      <c r="W39" s="113"/>
      <c r="X39" s="114"/>
      <c r="Y39" s="114"/>
      <c r="Z39" s="114"/>
      <c r="AA39" s="114"/>
      <c r="AB39" s="114"/>
      <c r="AC39" s="114"/>
      <c r="AD39" s="114"/>
      <c r="AE39" s="114"/>
      <c r="AF39" s="114"/>
      <c r="AG39" s="114"/>
      <c r="AH39" s="114"/>
      <c r="AI39" s="114"/>
      <c r="AJ39" s="114"/>
      <c r="AK39" s="114"/>
      <c r="AL39" s="114"/>
      <c r="AM39" s="114"/>
      <c r="AN39" s="114"/>
      <c r="AO39" s="114"/>
      <c r="AP39" s="114"/>
      <c r="AQ39" s="114"/>
      <c r="AR39" s="114"/>
    </row>
    <row r="40" spans="1:44" s="117" customFormat="1" ht="17.25" customHeight="1">
      <c r="A40" s="117">
        <v>5</v>
      </c>
      <c r="B40" s="16" t="s">
        <v>569</v>
      </c>
      <c r="C40" s="16" t="s">
        <v>569</v>
      </c>
      <c r="D40" s="16" t="s">
        <v>582</v>
      </c>
      <c r="E40" s="17" t="s">
        <v>583</v>
      </c>
      <c r="F40" s="18">
        <v>-1323360.76</v>
      </c>
      <c r="G40" s="18">
        <v>247648.93</v>
      </c>
      <c r="H40" s="18"/>
      <c r="I40" s="18">
        <f t="shared" si="13"/>
        <v>-1075711.83</v>
      </c>
      <c r="J40" s="18">
        <v>318721.71999999997</v>
      </c>
      <c r="K40" s="18">
        <v>0</v>
      </c>
      <c r="L40" s="18">
        <f t="shared" si="14"/>
        <v>-756990.1100000001</v>
      </c>
      <c r="M40" s="18">
        <v>357035.36</v>
      </c>
      <c r="N40" s="18"/>
      <c r="O40" s="18">
        <f t="shared" si="8"/>
        <v>-399954.75000000012</v>
      </c>
      <c r="P40" s="18">
        <v>561266.31999999995</v>
      </c>
      <c r="Q40" s="18">
        <v>-161311.57</v>
      </c>
      <c r="R40" s="18">
        <f t="shared" si="15"/>
        <v>0</v>
      </c>
      <c r="S40" s="113"/>
      <c r="T40" s="113"/>
      <c r="U40" s="113"/>
      <c r="V40" s="113"/>
      <c r="W40" s="113"/>
      <c r="X40" s="114"/>
      <c r="Y40" s="114"/>
      <c r="Z40" s="114"/>
      <c r="AA40" s="114"/>
      <c r="AB40" s="114"/>
      <c r="AC40" s="114"/>
      <c r="AD40" s="114"/>
      <c r="AE40" s="114"/>
      <c r="AF40" s="114"/>
      <c r="AG40" s="114"/>
      <c r="AH40" s="114"/>
      <c r="AI40" s="114"/>
      <c r="AJ40" s="114"/>
      <c r="AK40" s="114"/>
      <c r="AL40" s="114"/>
      <c r="AM40" s="114"/>
      <c r="AN40" s="114"/>
      <c r="AO40" s="114"/>
      <c r="AP40" s="114"/>
      <c r="AQ40" s="114"/>
      <c r="AR40" s="114"/>
    </row>
    <row r="41" spans="1:44" s="117" customFormat="1" ht="17.25" customHeight="1">
      <c r="A41" s="117">
        <v>5</v>
      </c>
      <c r="B41" s="16" t="s">
        <v>569</v>
      </c>
      <c r="C41" s="16" t="s">
        <v>569</v>
      </c>
      <c r="D41" s="16" t="s">
        <v>584</v>
      </c>
      <c r="E41" s="17" t="s">
        <v>585</v>
      </c>
      <c r="F41" s="18">
        <v>-1580177</v>
      </c>
      <c r="G41" s="18">
        <v>34911.440000000002</v>
      </c>
      <c r="H41" s="18"/>
      <c r="I41" s="18">
        <f t="shared" si="13"/>
        <v>-1545265.56</v>
      </c>
      <c r="J41" s="18">
        <v>110359.99</v>
      </c>
      <c r="K41" s="18">
        <v>0</v>
      </c>
      <c r="L41" s="18">
        <f t="shared" si="14"/>
        <v>-1434905.57</v>
      </c>
      <c r="M41" s="18">
        <v>43627.9</v>
      </c>
      <c r="N41" s="18">
        <v>-9017.34</v>
      </c>
      <c r="O41" s="18">
        <f t="shared" si="8"/>
        <v>-1400295.0100000002</v>
      </c>
      <c r="P41" s="18">
        <v>56580.45</v>
      </c>
      <c r="Q41" s="18">
        <v>-16467.95</v>
      </c>
      <c r="R41" s="18">
        <f t="shared" si="15"/>
        <v>-1360182.5100000002</v>
      </c>
      <c r="S41" s="113"/>
      <c r="T41" s="113"/>
      <c r="U41" s="113"/>
      <c r="V41" s="113"/>
      <c r="W41" s="113"/>
      <c r="X41" s="114"/>
      <c r="Y41" s="114"/>
      <c r="Z41" s="114"/>
      <c r="AA41" s="114"/>
      <c r="AB41" s="114"/>
      <c r="AC41" s="114"/>
      <c r="AD41" s="114"/>
      <c r="AE41" s="114"/>
      <c r="AF41" s="114"/>
      <c r="AG41" s="114"/>
      <c r="AH41" s="114"/>
      <c r="AI41" s="114"/>
      <c r="AJ41" s="114"/>
      <c r="AK41" s="114"/>
      <c r="AL41" s="114"/>
      <c r="AM41" s="114"/>
      <c r="AN41" s="114"/>
      <c r="AO41" s="114"/>
      <c r="AP41" s="114"/>
      <c r="AQ41" s="114"/>
      <c r="AR41" s="114"/>
    </row>
    <row r="42" spans="1:44" s="117" customFormat="1" ht="17.25" customHeight="1">
      <c r="B42" s="16">
        <v>600</v>
      </c>
      <c r="C42" s="16">
        <v>600</v>
      </c>
      <c r="D42" s="16">
        <v>6042</v>
      </c>
      <c r="E42" s="17" t="s">
        <v>439</v>
      </c>
      <c r="F42" s="18">
        <v>-1016202.54</v>
      </c>
      <c r="G42" s="18">
        <v>249448.94</v>
      </c>
      <c r="H42" s="18"/>
      <c r="I42" s="18">
        <f t="shared" si="13"/>
        <v>-766753.60000000009</v>
      </c>
      <c r="J42" s="18">
        <v>227180.76</v>
      </c>
      <c r="K42" s="18">
        <v>0</v>
      </c>
      <c r="L42" s="18">
        <f t="shared" si="14"/>
        <v>-539572.84000000008</v>
      </c>
      <c r="M42" s="18">
        <v>254490.22</v>
      </c>
      <c r="N42" s="18"/>
      <c r="O42" s="18">
        <f>L42+M42+N42</f>
        <v>-285082.62000000011</v>
      </c>
      <c r="P42" s="18">
        <v>285082.62</v>
      </c>
      <c r="Q42" s="18"/>
      <c r="R42" s="18">
        <f t="shared" si="15"/>
        <v>0</v>
      </c>
      <c r="S42" s="113"/>
      <c r="T42" s="113"/>
      <c r="U42" s="113"/>
      <c r="V42" s="113"/>
      <c r="W42" s="113"/>
      <c r="X42" s="114"/>
      <c r="Y42" s="114"/>
      <c r="Z42" s="114"/>
      <c r="AA42" s="114"/>
      <c r="AB42" s="114"/>
      <c r="AC42" s="114"/>
      <c r="AD42" s="114"/>
      <c r="AE42" s="114"/>
      <c r="AF42" s="114"/>
      <c r="AG42" s="114"/>
      <c r="AH42" s="114"/>
      <c r="AI42" s="114"/>
      <c r="AJ42" s="114"/>
      <c r="AK42" s="114"/>
      <c r="AL42" s="114"/>
      <c r="AM42" s="114"/>
      <c r="AN42" s="114"/>
      <c r="AO42" s="114"/>
      <c r="AP42" s="114"/>
      <c r="AQ42" s="114"/>
      <c r="AR42" s="114"/>
    </row>
    <row r="43" spans="1:44" s="117" customFormat="1" ht="17.25" customHeight="1">
      <c r="B43" s="16">
        <v>600</v>
      </c>
      <c r="C43" s="16">
        <v>600</v>
      </c>
      <c r="D43" s="16">
        <v>6043</v>
      </c>
      <c r="E43" s="17" t="s">
        <v>440</v>
      </c>
      <c r="F43" s="18">
        <v>0</v>
      </c>
      <c r="G43" s="18">
        <v>8849.16</v>
      </c>
      <c r="H43" s="18">
        <v>-1702295.01</v>
      </c>
      <c r="I43" s="18">
        <f t="shared" si="13"/>
        <v>-1693445.85</v>
      </c>
      <c r="J43" s="18">
        <v>0</v>
      </c>
      <c r="K43" s="18">
        <v>-4621092.88</v>
      </c>
      <c r="L43" s="18">
        <f t="shared" si="14"/>
        <v>-6314538.7300000004</v>
      </c>
      <c r="M43" s="18">
        <v>249325.28</v>
      </c>
      <c r="N43" s="18">
        <v>-558715.12</v>
      </c>
      <c r="O43" s="18">
        <f>L43+M43+N43</f>
        <v>-6623928.5700000003</v>
      </c>
      <c r="P43" s="18">
        <v>825671.69</v>
      </c>
      <c r="Q43" s="18">
        <v>-187450.69</v>
      </c>
      <c r="R43" s="18">
        <f t="shared" si="15"/>
        <v>-5985707.5700000012</v>
      </c>
      <c r="S43" s="113"/>
      <c r="T43" s="113"/>
      <c r="U43" s="113"/>
      <c r="V43" s="113"/>
      <c r="W43" s="113"/>
      <c r="X43" s="114"/>
      <c r="Y43" s="114"/>
      <c r="Z43" s="114"/>
      <c r="AA43" s="114"/>
      <c r="AB43" s="114"/>
      <c r="AC43" s="114"/>
      <c r="AD43" s="114"/>
      <c r="AE43" s="114"/>
      <c r="AF43" s="114"/>
      <c r="AG43" s="114"/>
      <c r="AH43" s="114"/>
      <c r="AI43" s="114"/>
      <c r="AJ43" s="114"/>
      <c r="AK43" s="114"/>
      <c r="AL43" s="114"/>
      <c r="AM43" s="114"/>
      <c r="AN43" s="114"/>
      <c r="AO43" s="114"/>
      <c r="AP43" s="114"/>
      <c r="AQ43" s="114"/>
      <c r="AR43" s="114"/>
    </row>
    <row r="44" spans="1:44" s="117" customFormat="1" ht="17.25" customHeight="1">
      <c r="B44" s="16"/>
      <c r="C44" s="16"/>
      <c r="D44" s="16">
        <v>6046</v>
      </c>
      <c r="E44" s="17" t="s">
        <v>1507</v>
      </c>
      <c r="F44" s="18"/>
      <c r="G44" s="18"/>
      <c r="H44" s="18"/>
      <c r="I44" s="18"/>
      <c r="J44" s="18"/>
      <c r="K44" s="18">
        <v>-5184247.26</v>
      </c>
      <c r="L44" s="18">
        <f>+I44+J44+K44</f>
        <v>-5184247.26</v>
      </c>
      <c r="M44" s="18">
        <v>259285.24</v>
      </c>
      <c r="N44" s="18">
        <v>-1048206.89</v>
      </c>
      <c r="O44" s="18">
        <f>L44+M44+N44</f>
        <v>-5973168.9099999992</v>
      </c>
      <c r="P44" s="18">
        <v>1129951.07</v>
      </c>
      <c r="Q44" s="18">
        <v>-881503.13</v>
      </c>
      <c r="R44" s="18">
        <f t="shared" si="15"/>
        <v>-5724720.9699999988</v>
      </c>
      <c r="S44" s="113"/>
      <c r="T44" s="113"/>
      <c r="U44" s="113"/>
      <c r="V44" s="113"/>
      <c r="W44" s="113"/>
      <c r="X44" s="114"/>
      <c r="Y44" s="114"/>
      <c r="Z44" s="114"/>
      <c r="AA44" s="114"/>
      <c r="AB44" s="114"/>
      <c r="AC44" s="114"/>
      <c r="AD44" s="114"/>
      <c r="AE44" s="114"/>
      <c r="AF44" s="114"/>
      <c r="AG44" s="114"/>
      <c r="AH44" s="114"/>
      <c r="AI44" s="114"/>
      <c r="AJ44" s="114"/>
      <c r="AK44" s="114"/>
      <c r="AL44" s="114"/>
      <c r="AM44" s="114"/>
      <c r="AN44" s="114"/>
      <c r="AO44" s="114"/>
      <c r="AP44" s="114"/>
      <c r="AQ44" s="114"/>
      <c r="AR44" s="114"/>
    </row>
    <row r="45" spans="1:44" s="117" customFormat="1" ht="17.25" customHeight="1">
      <c r="B45" s="102"/>
      <c r="C45" s="102"/>
      <c r="D45" s="27"/>
      <c r="E45" s="28"/>
      <c r="F45" s="29"/>
      <c r="G45" s="29"/>
      <c r="H45" s="29"/>
      <c r="I45" s="29"/>
      <c r="J45" s="29"/>
      <c r="K45" s="29"/>
      <c r="L45" s="103"/>
      <c r="N45" s="118"/>
      <c r="O45" s="114"/>
      <c r="P45" s="113"/>
      <c r="Q45" s="113"/>
      <c r="R45" s="18">
        <f t="shared" si="15"/>
        <v>0</v>
      </c>
      <c r="S45" s="113"/>
      <c r="T45" s="113"/>
      <c r="U45" s="113"/>
      <c r="V45" s="113"/>
      <c r="W45" s="113"/>
      <c r="X45" s="114"/>
      <c r="Y45" s="114"/>
      <c r="Z45" s="114"/>
      <c r="AA45" s="114"/>
      <c r="AB45" s="114"/>
      <c r="AC45" s="114"/>
      <c r="AD45" s="114"/>
      <c r="AE45" s="114"/>
      <c r="AF45" s="114"/>
      <c r="AG45" s="114"/>
      <c r="AH45" s="114"/>
      <c r="AI45" s="114"/>
      <c r="AJ45" s="114"/>
      <c r="AK45" s="114"/>
      <c r="AL45" s="114"/>
      <c r="AM45" s="114"/>
      <c r="AN45" s="114"/>
      <c r="AO45" s="114"/>
      <c r="AP45" s="114"/>
      <c r="AQ45" s="114"/>
      <c r="AR45" s="114"/>
    </row>
    <row r="46" spans="1:44" s="117" customFormat="1" ht="17.25" customHeight="1">
      <c r="B46" s="16">
        <v>600</v>
      </c>
      <c r="C46" s="16">
        <v>600</v>
      </c>
      <c r="D46" s="16">
        <v>6044</v>
      </c>
      <c r="E46" s="17" t="s">
        <v>1128</v>
      </c>
      <c r="F46" s="18"/>
      <c r="G46" s="18">
        <v>134125.6</v>
      </c>
      <c r="H46" s="18">
        <v>-2262640.62</v>
      </c>
      <c r="I46" s="18">
        <f t="shared" si="13"/>
        <v>-2128515.02</v>
      </c>
      <c r="J46" s="18">
        <v>0</v>
      </c>
      <c r="K46" s="18">
        <v>-61763.76</v>
      </c>
      <c r="L46" s="18">
        <f t="shared" si="14"/>
        <v>-2190278.7799999998</v>
      </c>
      <c r="M46" s="18">
        <v>1239686.4099999999</v>
      </c>
      <c r="N46" s="20">
        <v>0</v>
      </c>
      <c r="O46" s="18">
        <f>L46+M46+N46</f>
        <v>-950592.36999999988</v>
      </c>
      <c r="P46" s="18">
        <v>950592.37</v>
      </c>
      <c r="Q46" s="18"/>
      <c r="R46" s="18">
        <f t="shared" si="15"/>
        <v>0</v>
      </c>
      <c r="S46" s="113"/>
      <c r="T46" s="113"/>
      <c r="U46" s="113"/>
      <c r="V46" s="113"/>
      <c r="W46" s="113"/>
      <c r="X46" s="114"/>
      <c r="Y46" s="114"/>
      <c r="Z46" s="114"/>
      <c r="AA46" s="114"/>
      <c r="AB46" s="114"/>
      <c r="AC46" s="114"/>
      <c r="AD46" s="114"/>
      <c r="AE46" s="114"/>
      <c r="AF46" s="114"/>
      <c r="AG46" s="114"/>
      <c r="AH46" s="114"/>
      <c r="AI46" s="114"/>
      <c r="AJ46" s="114"/>
      <c r="AK46" s="114"/>
      <c r="AL46" s="114"/>
      <c r="AM46" s="114"/>
      <c r="AN46" s="114"/>
      <c r="AO46" s="114"/>
      <c r="AP46" s="114"/>
      <c r="AQ46" s="114"/>
      <c r="AR46" s="114"/>
    </row>
    <row r="47" spans="1:44" s="117" customFormat="1" ht="17.25" customHeight="1" thickBot="1">
      <c r="B47" s="27"/>
      <c r="C47" s="27"/>
      <c r="D47" s="27"/>
      <c r="E47" s="28"/>
      <c r="F47" s="29"/>
      <c r="G47" s="29"/>
      <c r="H47" s="29"/>
      <c r="I47" s="29"/>
      <c r="J47" s="29"/>
      <c r="K47" s="29"/>
      <c r="L47" s="18"/>
      <c r="M47" s="29"/>
      <c r="N47" s="29"/>
      <c r="O47" s="29"/>
      <c r="P47" s="113"/>
      <c r="Q47" s="113"/>
      <c r="R47" s="113"/>
      <c r="S47" s="113"/>
      <c r="T47" s="113"/>
      <c r="U47" s="113"/>
      <c r="V47" s="113"/>
      <c r="W47" s="113"/>
      <c r="X47" s="114"/>
      <c r="Y47" s="114"/>
      <c r="Z47" s="114"/>
      <c r="AA47" s="114"/>
      <c r="AB47" s="114"/>
      <c r="AC47" s="114"/>
      <c r="AD47" s="114"/>
      <c r="AE47" s="114"/>
      <c r="AF47" s="114"/>
      <c r="AG47" s="114"/>
      <c r="AH47" s="114"/>
      <c r="AI47" s="114"/>
      <c r="AJ47" s="114"/>
      <c r="AK47" s="114"/>
      <c r="AL47" s="114"/>
      <c r="AM47" s="114"/>
      <c r="AN47" s="114"/>
      <c r="AO47" s="114"/>
      <c r="AP47" s="114"/>
      <c r="AQ47" s="114"/>
      <c r="AR47" s="114"/>
    </row>
    <row r="48" spans="1:44" s="117" customFormat="1" ht="17.25" customHeight="1" thickTop="1" thickBot="1">
      <c r="B48" s="25" t="s">
        <v>1459</v>
      </c>
      <c r="C48" s="26"/>
      <c r="D48" s="24"/>
      <c r="E48" s="23" t="s">
        <v>586</v>
      </c>
      <c r="F48" s="22">
        <f>SUM(F34:F46)</f>
        <v>-9175394.6799999997</v>
      </c>
      <c r="G48" s="22">
        <f>SUM(G34:G46)</f>
        <v>2716351.2800000003</v>
      </c>
      <c r="H48" s="22">
        <f>SUM(H34:H46)</f>
        <v>-4668116.9800000004</v>
      </c>
      <c r="I48" s="22">
        <f>SUM(I34:I46)</f>
        <v>-11127160.379999999</v>
      </c>
      <c r="J48" s="22">
        <f>SUM(J34:J46)</f>
        <v>5907741.4000000013</v>
      </c>
      <c r="K48" s="22">
        <f>SUM(K34:K47)</f>
        <v>-16410408.059999999</v>
      </c>
      <c r="L48" s="22">
        <f>SUM(L34:L47)</f>
        <v>-21629827.039999999</v>
      </c>
      <c r="M48" s="22">
        <f>SUM(M34:M47)</f>
        <v>3844632.5999999996</v>
      </c>
      <c r="N48" s="22">
        <f>SUM(N34:N47)</f>
        <v>-1710360.05</v>
      </c>
      <c r="O48" s="22">
        <f>SUM(O34:O47)</f>
        <v>-19495554.490000002</v>
      </c>
      <c r="P48" s="22">
        <f t="shared" ref="P48:R48" si="16">SUM(P34:P47)</f>
        <v>5676840.2700000005</v>
      </c>
      <c r="Q48" s="22">
        <f t="shared" si="16"/>
        <v>-1410552.3599999999</v>
      </c>
      <c r="R48" s="1620">
        <f t="shared" si="16"/>
        <v>-15229266.58</v>
      </c>
      <c r="S48" s="113"/>
      <c r="T48" s="113"/>
      <c r="U48" s="113"/>
      <c r="V48" s="113"/>
      <c r="W48" s="113"/>
      <c r="X48" s="114"/>
      <c r="Y48" s="114"/>
      <c r="Z48" s="114"/>
      <c r="AA48" s="114"/>
      <c r="AB48" s="114"/>
      <c r="AC48" s="114"/>
      <c r="AD48" s="114"/>
      <c r="AE48" s="114"/>
      <c r="AF48" s="114"/>
      <c r="AG48" s="114"/>
      <c r="AH48" s="114"/>
      <c r="AI48" s="114"/>
      <c r="AJ48" s="114"/>
      <c r="AK48" s="114"/>
      <c r="AL48" s="114"/>
      <c r="AM48" s="114"/>
      <c r="AN48" s="114"/>
      <c r="AO48" s="114"/>
      <c r="AP48" s="114"/>
      <c r="AQ48" s="114"/>
      <c r="AR48" s="114"/>
    </row>
    <row r="49" spans="1:44" s="117" customFormat="1" ht="17.25" customHeight="1" thickTop="1">
      <c r="B49" s="107"/>
      <c r="C49" s="107"/>
      <c r="D49" s="107"/>
      <c r="F49" s="115"/>
      <c r="G49" s="115"/>
      <c r="H49" s="115"/>
      <c r="I49" s="115"/>
      <c r="J49" s="115"/>
      <c r="K49" s="115"/>
      <c r="L49" s="114"/>
      <c r="N49" s="118"/>
      <c r="O49" s="114"/>
      <c r="P49" s="113"/>
      <c r="Q49" s="113"/>
      <c r="R49" s="113"/>
      <c r="S49" s="113"/>
      <c r="T49" s="113"/>
      <c r="U49" s="113"/>
      <c r="V49" s="113"/>
      <c r="W49" s="113"/>
      <c r="X49" s="114"/>
      <c r="Y49" s="114"/>
      <c r="Z49" s="114"/>
      <c r="AA49" s="114"/>
      <c r="AB49" s="114"/>
      <c r="AC49" s="114"/>
      <c r="AD49" s="114"/>
      <c r="AE49" s="114"/>
      <c r="AF49" s="114"/>
      <c r="AG49" s="114"/>
      <c r="AH49" s="114"/>
      <c r="AI49" s="114"/>
      <c r="AJ49" s="114"/>
      <c r="AK49" s="114"/>
      <c r="AL49" s="114"/>
      <c r="AM49" s="114"/>
      <c r="AN49" s="114"/>
      <c r="AO49" s="114"/>
      <c r="AP49" s="114"/>
      <c r="AQ49" s="114"/>
      <c r="AR49" s="114"/>
    </row>
    <row r="50" spans="1:44" ht="17.25" customHeight="1">
      <c r="A50" s="21">
        <v>5</v>
      </c>
      <c r="B50" s="16" t="s">
        <v>587</v>
      </c>
      <c r="C50" s="16" t="s">
        <v>587</v>
      </c>
      <c r="D50" s="16" t="s">
        <v>588</v>
      </c>
      <c r="E50" s="17" t="s">
        <v>1844</v>
      </c>
      <c r="F50" s="18">
        <v>-1327936.83</v>
      </c>
      <c r="G50" s="18">
        <v>295039.03000000003</v>
      </c>
      <c r="H50" s="18">
        <v>-528649.6</v>
      </c>
      <c r="I50" s="18">
        <f>SUM(F50:H50)</f>
        <v>-1561547.4</v>
      </c>
      <c r="J50" s="18">
        <v>449041.06</v>
      </c>
      <c r="K50" s="18">
        <v>-718447.5</v>
      </c>
      <c r="L50" s="18">
        <v>-1561547.4</v>
      </c>
      <c r="M50" s="18">
        <v>0</v>
      </c>
      <c r="N50" s="18">
        <v>-665485.49</v>
      </c>
      <c r="O50" s="18">
        <f>L50+M50+N50</f>
        <v>-2227032.8899999997</v>
      </c>
      <c r="P50" s="18"/>
      <c r="Q50" s="18">
        <v>-408539.26</v>
      </c>
      <c r="R50" s="18">
        <f t="shared" ref="R50:R51" si="17">SUM(O50:Q50)</f>
        <v>-2635572.1499999994</v>
      </c>
    </row>
    <row r="51" spans="1:44" ht="17.25" customHeight="1">
      <c r="B51" s="16" t="s">
        <v>587</v>
      </c>
      <c r="C51" s="16" t="s">
        <v>587</v>
      </c>
      <c r="D51" s="16">
        <v>6203</v>
      </c>
      <c r="E51" s="17" t="s">
        <v>1843</v>
      </c>
      <c r="F51" s="18">
        <v>-1327936.83</v>
      </c>
      <c r="G51" s="18">
        <v>295039.03000000003</v>
      </c>
      <c r="H51" s="18">
        <v>-528649.6</v>
      </c>
      <c r="I51" s="18">
        <f>SUM(F51:H51)</f>
        <v>-1561547.4</v>
      </c>
      <c r="J51" s="18">
        <v>449041.06</v>
      </c>
      <c r="K51" s="18">
        <v>-718447.5</v>
      </c>
      <c r="L51" s="18">
        <v>-269406.44</v>
      </c>
      <c r="M51" s="18">
        <v>1141053.21</v>
      </c>
      <c r="N51" s="18">
        <v>-1444375.99</v>
      </c>
      <c r="O51" s="18">
        <f>L51+M51+N51</f>
        <v>-572729.22</v>
      </c>
      <c r="P51" s="18">
        <v>2212739.2400000002</v>
      </c>
      <c r="Q51" s="18">
        <v>-2268098.96</v>
      </c>
      <c r="R51" s="18">
        <f t="shared" si="17"/>
        <v>-628088.93999999971</v>
      </c>
    </row>
    <row r="52" spans="1:44" ht="17.25" customHeight="1" thickBot="1">
      <c r="B52" s="111"/>
      <c r="C52" s="111"/>
      <c r="D52" s="111"/>
      <c r="M52" s="113"/>
      <c r="N52" s="113"/>
      <c r="O52" s="113">
        <f>L52+M52+N52</f>
        <v>0</v>
      </c>
    </row>
    <row r="53" spans="1:44" ht="17.25" customHeight="1" thickTop="1" thickBot="1">
      <c r="B53" s="25" t="s">
        <v>1460</v>
      </c>
      <c r="C53" s="26"/>
      <c r="D53" s="24"/>
      <c r="E53" s="23" t="s">
        <v>589</v>
      </c>
      <c r="F53" s="22">
        <f t="shared" ref="F53:K53" si="18">F50</f>
        <v>-1327936.83</v>
      </c>
      <c r="G53" s="22">
        <f t="shared" si="18"/>
        <v>295039.03000000003</v>
      </c>
      <c r="H53" s="22">
        <f t="shared" si="18"/>
        <v>-528649.6</v>
      </c>
      <c r="I53" s="22">
        <f t="shared" si="18"/>
        <v>-1561547.4</v>
      </c>
      <c r="J53" s="22">
        <f t="shared" si="18"/>
        <v>449041.06</v>
      </c>
      <c r="K53" s="22">
        <f t="shared" si="18"/>
        <v>-718447.5</v>
      </c>
      <c r="L53" s="22">
        <f>SUM(L50:L51)</f>
        <v>-1830953.8399999999</v>
      </c>
      <c r="M53" s="22">
        <f>SUM(M51:M52)</f>
        <v>1141053.21</v>
      </c>
      <c r="N53" s="22">
        <f>SUM(N50:N52)</f>
        <v>-2109861.48</v>
      </c>
      <c r="O53" s="22">
        <f>SUM(O50:O52)</f>
        <v>-2799762.1099999994</v>
      </c>
      <c r="P53" s="22">
        <f t="shared" ref="P53:R53" si="19">SUM(P50:P52)</f>
        <v>2212739.2400000002</v>
      </c>
      <c r="Q53" s="22">
        <f t="shared" si="19"/>
        <v>-2676638.2199999997</v>
      </c>
      <c r="R53" s="1620">
        <f t="shared" si="19"/>
        <v>-3263661.0899999989</v>
      </c>
    </row>
    <row r="54" spans="1:44" ht="17.25" customHeight="1" thickTop="1">
      <c r="B54" s="111"/>
      <c r="C54" s="111"/>
      <c r="D54" s="111"/>
      <c r="F54" s="29"/>
      <c r="G54" s="115"/>
      <c r="H54" s="115"/>
      <c r="I54" s="29"/>
      <c r="J54" s="29"/>
      <c r="N54" s="119"/>
    </row>
    <row r="55" spans="1:44" ht="17.25" customHeight="1">
      <c r="B55" s="111"/>
      <c r="C55" s="111"/>
      <c r="D55" s="111"/>
      <c r="F55" s="29"/>
      <c r="G55" s="115"/>
      <c r="H55" s="115"/>
      <c r="I55" s="29"/>
      <c r="J55" s="29"/>
      <c r="L55" s="113">
        <f>+I55+J55+K55</f>
        <v>0</v>
      </c>
      <c r="N55" s="119"/>
    </row>
    <row r="56" spans="1:44" ht="17.25" customHeight="1">
      <c r="A56" s="21">
        <v>5</v>
      </c>
      <c r="B56" s="16" t="s">
        <v>590</v>
      </c>
      <c r="C56" s="16" t="s">
        <v>590</v>
      </c>
      <c r="D56" s="16" t="s">
        <v>591</v>
      </c>
      <c r="E56" s="17" t="s">
        <v>592</v>
      </c>
      <c r="F56" s="18">
        <v>-149710.31</v>
      </c>
      <c r="G56" s="18">
        <v>1398322.83</v>
      </c>
      <c r="H56" s="18">
        <v>-1407881.33</v>
      </c>
      <c r="I56" s="18">
        <f>SUM(F56:H56)</f>
        <v>-159268.81000000006</v>
      </c>
      <c r="J56" s="18">
        <v>801355.35</v>
      </c>
      <c r="K56" s="18">
        <v>-1719607.13</v>
      </c>
      <c r="L56" s="18">
        <f>+I56+J56+K56</f>
        <v>-1077520.5899999999</v>
      </c>
      <c r="M56" s="18">
        <v>1608516.16</v>
      </c>
      <c r="N56" s="18">
        <v>-2465058.23</v>
      </c>
      <c r="O56" s="18">
        <f>L56+M56+N56</f>
        <v>-1934062.66</v>
      </c>
      <c r="P56" s="18">
        <v>4096752.58</v>
      </c>
      <c r="Q56" s="18">
        <v>-3105994.02</v>
      </c>
      <c r="R56" s="18">
        <f t="shared" ref="R56:R59" si="20">SUM(O56:Q56)</f>
        <v>-943304.10000000009</v>
      </c>
    </row>
    <row r="57" spans="1:44" ht="17.25" customHeight="1">
      <c r="A57" s="21">
        <v>5</v>
      </c>
      <c r="B57" s="16" t="s">
        <v>590</v>
      </c>
      <c r="C57" s="16" t="s">
        <v>590</v>
      </c>
      <c r="D57" s="16" t="s">
        <v>593</v>
      </c>
      <c r="E57" s="17" t="s">
        <v>594</v>
      </c>
      <c r="F57" s="18">
        <v>-4447424.0199999996</v>
      </c>
      <c r="G57" s="18">
        <v>4194441.47</v>
      </c>
      <c r="H57" s="18">
        <v>-3076100.77</v>
      </c>
      <c r="I57" s="18">
        <f>SUM(F57:H57)</f>
        <v>-3329083.32</v>
      </c>
      <c r="J57" s="18">
        <v>2639860.46</v>
      </c>
      <c r="K57" s="18">
        <v>-13206800.09</v>
      </c>
      <c r="L57" s="18">
        <f>+I57+J57+K57</f>
        <v>-13896022.949999999</v>
      </c>
      <c r="M57" s="18">
        <v>10433404.529999999</v>
      </c>
      <c r="N57" s="18">
        <v>-20812007.219999999</v>
      </c>
      <c r="O57" s="18">
        <f>L57+M57+N57</f>
        <v>-24274625.640000001</v>
      </c>
      <c r="P57" s="18">
        <f>10685743.18+12079.48</f>
        <v>10697822.66</v>
      </c>
      <c r="Q57" s="18">
        <v>-19127834.780000001</v>
      </c>
      <c r="R57" s="18">
        <f t="shared" si="20"/>
        <v>-32704637.760000002</v>
      </c>
    </row>
    <row r="58" spans="1:44" ht="17.25" customHeight="1">
      <c r="A58" s="21">
        <v>5</v>
      </c>
      <c r="B58" s="16" t="s">
        <v>590</v>
      </c>
      <c r="C58" s="16" t="s">
        <v>590</v>
      </c>
      <c r="D58" s="16" t="s">
        <v>595</v>
      </c>
      <c r="E58" s="17" t="s">
        <v>658</v>
      </c>
      <c r="F58" s="18">
        <v>-906500.46</v>
      </c>
      <c r="G58" s="18">
        <v>906500.46</v>
      </c>
      <c r="H58" s="18">
        <v>-1234470.78</v>
      </c>
      <c r="I58" s="18">
        <f>SUM(F58:H58)</f>
        <v>-1234470.78</v>
      </c>
      <c r="J58" s="18">
        <v>0</v>
      </c>
      <c r="K58" s="18">
        <v>-201300.51</v>
      </c>
      <c r="L58" s="18">
        <f>+I58+J58+K58</f>
        <v>-1435771.29</v>
      </c>
      <c r="M58" s="18">
        <v>189450.09</v>
      </c>
      <c r="N58" s="18"/>
      <c r="O58" s="18">
        <f>L58+M58+N58</f>
        <v>-1246321.2</v>
      </c>
      <c r="P58" s="18">
        <v>83784.149999999994</v>
      </c>
      <c r="Q58" s="18"/>
      <c r="R58" s="18">
        <f t="shared" si="20"/>
        <v>-1162537.05</v>
      </c>
    </row>
    <row r="59" spans="1:44" ht="17.25" customHeight="1">
      <c r="A59" s="21">
        <v>5</v>
      </c>
      <c r="B59" s="16" t="s">
        <v>590</v>
      </c>
      <c r="C59" s="16" t="s">
        <v>590</v>
      </c>
      <c r="D59" s="16" t="s">
        <v>596</v>
      </c>
      <c r="E59" s="17" t="s">
        <v>597</v>
      </c>
      <c r="F59" s="18">
        <v>-1410492.72</v>
      </c>
      <c r="G59" s="18">
        <v>8923621.4299999997</v>
      </c>
      <c r="H59" s="18">
        <v>-8923621.4299999997</v>
      </c>
      <c r="I59" s="18">
        <f>SUM(F59:H59)</f>
        <v>-1410492.7199999997</v>
      </c>
      <c r="J59" s="18">
        <v>14837438.82</v>
      </c>
      <c r="K59" s="18">
        <v>-14507327.789999999</v>
      </c>
      <c r="L59" s="18">
        <f>+I59+J59+K59</f>
        <v>-1080381.6899999976</v>
      </c>
      <c r="M59" s="18">
        <v>21195195.710000001</v>
      </c>
      <c r="N59" s="18">
        <v>-21515983.780000001</v>
      </c>
      <c r="O59" s="18">
        <f>L59+M59+N59</f>
        <v>-1401169.7599999979</v>
      </c>
      <c r="P59" s="18">
        <f>21918235.56+15588.97</f>
        <v>21933824.529999997</v>
      </c>
      <c r="Q59" s="18">
        <f>-23252950.47-18480-21176.37</f>
        <v>-23292606.84</v>
      </c>
      <c r="R59" s="18">
        <f t="shared" si="20"/>
        <v>-2759952.0700000003</v>
      </c>
    </row>
    <row r="60" spans="1:44" ht="17.25" customHeight="1" thickBot="1">
      <c r="B60" s="111"/>
      <c r="C60" s="111"/>
      <c r="D60" s="111"/>
      <c r="J60" s="113">
        <v>0</v>
      </c>
      <c r="M60" s="113"/>
      <c r="N60" s="113"/>
      <c r="O60" s="113">
        <f>L60+M60+N60</f>
        <v>0</v>
      </c>
    </row>
    <row r="61" spans="1:44" ht="17.25" customHeight="1" thickTop="1" thickBot="1">
      <c r="B61" s="25" t="s">
        <v>1462</v>
      </c>
      <c r="C61" s="26"/>
      <c r="D61" s="24"/>
      <c r="E61" s="23" t="s">
        <v>598</v>
      </c>
      <c r="F61" s="22">
        <f>SUM(F56:F60)</f>
        <v>-6914127.5099999988</v>
      </c>
      <c r="G61" s="22">
        <f t="shared" ref="G61:L61" si="21">SUM(G56:G60)</f>
        <v>15422886.189999999</v>
      </c>
      <c r="H61" s="22">
        <f t="shared" si="21"/>
        <v>-14642074.309999999</v>
      </c>
      <c r="I61" s="22">
        <f t="shared" si="21"/>
        <v>-6133315.6299999999</v>
      </c>
      <c r="J61" s="22">
        <f t="shared" si="21"/>
        <v>18278654.629999999</v>
      </c>
      <c r="K61" s="22">
        <f t="shared" si="21"/>
        <v>-29635035.519999996</v>
      </c>
      <c r="L61" s="22">
        <f t="shared" si="21"/>
        <v>-17489696.519999996</v>
      </c>
      <c r="M61" s="22">
        <f>SUM(M56:M60)</f>
        <v>33426566.490000002</v>
      </c>
      <c r="N61" s="22">
        <f>SUM(N56:N60)</f>
        <v>-44793049.230000004</v>
      </c>
      <c r="O61" s="22">
        <f>SUM(O56:O60)</f>
        <v>-28856179.259999998</v>
      </c>
      <c r="P61" s="22">
        <f t="shared" ref="P61:R61" si="22">SUM(P56:P60)</f>
        <v>36812183.920000002</v>
      </c>
      <c r="Q61" s="22">
        <f t="shared" si="22"/>
        <v>-45526435.640000001</v>
      </c>
      <c r="R61" s="1620">
        <f t="shared" si="22"/>
        <v>-37570430.979999997</v>
      </c>
    </row>
    <row r="62" spans="1:44" ht="17.25" customHeight="1" thickTop="1">
      <c r="B62" s="111"/>
      <c r="C62" s="111"/>
      <c r="D62" s="111"/>
      <c r="N62" s="119"/>
    </row>
    <row r="63" spans="1:44" ht="17.25" customHeight="1">
      <c r="A63" s="21">
        <v>5</v>
      </c>
      <c r="B63" s="16" t="s">
        <v>590</v>
      </c>
      <c r="C63" s="16" t="s">
        <v>599</v>
      </c>
      <c r="D63" s="16" t="s">
        <v>600</v>
      </c>
      <c r="E63" s="17" t="s">
        <v>1318</v>
      </c>
      <c r="F63" s="18">
        <v>-1610.62</v>
      </c>
      <c r="G63" s="18">
        <v>9126515.1099999994</v>
      </c>
      <c r="H63" s="18">
        <v>-9145974.1899999995</v>
      </c>
      <c r="I63" s="18">
        <f t="shared" ref="I63:I80" si="23">SUM(F63:H63)</f>
        <v>-21069.699999999255</v>
      </c>
      <c r="J63" s="18">
        <v>2107804.9300000002</v>
      </c>
      <c r="K63" s="18">
        <v>-2150606.2400000002</v>
      </c>
      <c r="L63" s="18">
        <f t="shared" ref="L63:L88" si="24">+I63+J63+K63</f>
        <v>-63871.009999999311</v>
      </c>
      <c r="M63" s="18">
        <v>11529875.34</v>
      </c>
      <c r="N63" s="18">
        <v>-11548482.130000001</v>
      </c>
      <c r="O63" s="18">
        <f t="shared" ref="O63:O120" si="25">L63+M63+N63</f>
        <v>-82477.800000000745</v>
      </c>
      <c r="P63" s="18">
        <v>734145.49</v>
      </c>
      <c r="Q63" s="18">
        <v>-759131.42</v>
      </c>
      <c r="R63" s="18">
        <f t="shared" ref="R63:R93" si="26">SUM(O63:Q63)</f>
        <v>-107463.7300000008</v>
      </c>
    </row>
    <row r="64" spans="1:44" ht="17.25" customHeight="1">
      <c r="A64" s="21">
        <v>5</v>
      </c>
      <c r="B64" s="16" t="s">
        <v>590</v>
      </c>
      <c r="C64" s="16" t="s">
        <v>599</v>
      </c>
      <c r="D64" s="16" t="s">
        <v>595</v>
      </c>
      <c r="E64" s="17" t="s">
        <v>601</v>
      </c>
      <c r="F64" s="18">
        <v>-318235.78000000003</v>
      </c>
      <c r="G64" s="18">
        <v>0</v>
      </c>
      <c r="H64" s="18">
        <v>0</v>
      </c>
      <c r="I64" s="18">
        <f t="shared" si="23"/>
        <v>-318235.78000000003</v>
      </c>
      <c r="J64" s="18">
        <v>0</v>
      </c>
      <c r="K64" s="18">
        <v>0</v>
      </c>
      <c r="L64" s="18">
        <f t="shared" si="24"/>
        <v>-318235.78000000003</v>
      </c>
      <c r="M64" s="18"/>
      <c r="N64" s="18"/>
      <c r="O64" s="18">
        <f t="shared" si="25"/>
        <v>-318235.78000000003</v>
      </c>
      <c r="P64" s="18">
        <v>318235.78000000003</v>
      </c>
      <c r="Q64" s="18"/>
      <c r="R64" s="18">
        <f t="shared" si="26"/>
        <v>0</v>
      </c>
    </row>
    <row r="65" spans="1:18" ht="17.25" customHeight="1">
      <c r="B65" s="16">
        <v>640</v>
      </c>
      <c r="C65" s="16">
        <v>641</v>
      </c>
      <c r="D65" s="16">
        <v>6437</v>
      </c>
      <c r="E65" s="17" t="s">
        <v>1802</v>
      </c>
      <c r="F65" s="18"/>
      <c r="G65" s="18"/>
      <c r="H65" s="18"/>
      <c r="I65" s="18"/>
      <c r="J65" s="18"/>
      <c r="K65" s="18"/>
      <c r="L65" s="18"/>
      <c r="M65" s="18"/>
      <c r="N65" s="18">
        <v>-600000</v>
      </c>
      <c r="O65" s="18">
        <f t="shared" si="25"/>
        <v>-600000</v>
      </c>
      <c r="P65" s="18">
        <v>600000</v>
      </c>
      <c r="Q65" s="18"/>
      <c r="R65" s="18">
        <f t="shared" si="26"/>
        <v>0</v>
      </c>
    </row>
    <row r="66" spans="1:18" ht="17.25" customHeight="1">
      <c r="A66" s="21">
        <v>5</v>
      </c>
      <c r="B66" s="16" t="s">
        <v>590</v>
      </c>
      <c r="C66" s="16" t="s">
        <v>599</v>
      </c>
      <c r="D66" s="16" t="s">
        <v>602</v>
      </c>
      <c r="E66" s="17" t="s">
        <v>603</v>
      </c>
      <c r="F66" s="18">
        <v>-86917.96</v>
      </c>
      <c r="G66" s="18">
        <v>0</v>
      </c>
      <c r="H66" s="18">
        <v>0</v>
      </c>
      <c r="I66" s="18">
        <f t="shared" si="23"/>
        <v>-86917.96</v>
      </c>
      <c r="J66" s="18">
        <v>0</v>
      </c>
      <c r="K66" s="18">
        <v>0</v>
      </c>
      <c r="L66" s="18">
        <f t="shared" si="24"/>
        <v>-86917.96</v>
      </c>
      <c r="M66" s="18"/>
      <c r="N66" s="18"/>
      <c r="O66" s="18">
        <f t="shared" si="25"/>
        <v>-86917.96</v>
      </c>
      <c r="P66" s="18"/>
      <c r="Q66" s="18"/>
      <c r="R66" s="18">
        <f t="shared" si="26"/>
        <v>-86917.96</v>
      </c>
    </row>
    <row r="67" spans="1:18" ht="17.25" customHeight="1">
      <c r="A67" s="21">
        <v>5</v>
      </c>
      <c r="B67" s="16" t="s">
        <v>590</v>
      </c>
      <c r="C67" s="16" t="s">
        <v>599</v>
      </c>
      <c r="D67" s="16" t="s">
        <v>604</v>
      </c>
      <c r="E67" s="17" t="s">
        <v>441</v>
      </c>
      <c r="F67" s="18">
        <v>-833000</v>
      </c>
      <c r="G67" s="18">
        <v>857673.78</v>
      </c>
      <c r="H67" s="18">
        <v>-857673.78</v>
      </c>
      <c r="I67" s="18">
        <f t="shared" si="23"/>
        <v>-833000</v>
      </c>
      <c r="J67" s="18">
        <v>397045.24</v>
      </c>
      <c r="K67" s="18">
        <v>0</v>
      </c>
      <c r="L67" s="18">
        <f t="shared" si="24"/>
        <v>-435954.76</v>
      </c>
      <c r="M67" s="18"/>
      <c r="N67" s="18"/>
      <c r="O67" s="18">
        <f t="shared" si="25"/>
        <v>-435954.76</v>
      </c>
      <c r="P67" s="18">
        <v>845349.59</v>
      </c>
      <c r="Q67" s="18">
        <v>-409394.83</v>
      </c>
      <c r="R67" s="18">
        <f t="shared" si="26"/>
        <v>0</v>
      </c>
    </row>
    <row r="68" spans="1:18" ht="17.25" customHeight="1">
      <c r="A68" s="21">
        <v>5</v>
      </c>
      <c r="B68" s="16" t="s">
        <v>590</v>
      </c>
      <c r="C68" s="16" t="s">
        <v>599</v>
      </c>
      <c r="D68" s="16" t="s">
        <v>605</v>
      </c>
      <c r="E68" s="17" t="s">
        <v>1320</v>
      </c>
      <c r="F68" s="18">
        <v>-4952.33</v>
      </c>
      <c r="G68" s="18">
        <v>0</v>
      </c>
      <c r="H68" s="18">
        <v>0</v>
      </c>
      <c r="I68" s="18">
        <f t="shared" si="23"/>
        <v>-4952.33</v>
      </c>
      <c r="J68" s="18">
        <v>0</v>
      </c>
      <c r="K68" s="18">
        <v>0</v>
      </c>
      <c r="L68" s="18">
        <f t="shared" si="24"/>
        <v>-4952.33</v>
      </c>
      <c r="M68" s="18"/>
      <c r="N68" s="18"/>
      <c r="O68" s="18">
        <f t="shared" si="25"/>
        <v>-4952.33</v>
      </c>
      <c r="P68" s="18"/>
      <c r="Q68" s="18"/>
      <c r="R68" s="18">
        <f t="shared" si="26"/>
        <v>-4952.33</v>
      </c>
    </row>
    <row r="69" spans="1:18" ht="17.25" customHeight="1">
      <c r="A69" s="21">
        <v>5</v>
      </c>
      <c r="B69" s="16" t="s">
        <v>590</v>
      </c>
      <c r="C69" s="16" t="s">
        <v>599</v>
      </c>
      <c r="D69" s="16" t="s">
        <v>606</v>
      </c>
      <c r="E69" s="17" t="s">
        <v>29</v>
      </c>
      <c r="F69" s="18">
        <v>-726426.18</v>
      </c>
      <c r="G69" s="18">
        <v>1452852.36</v>
      </c>
      <c r="H69" s="18">
        <v>-2160006.1800000002</v>
      </c>
      <c r="I69" s="18">
        <f t="shared" si="23"/>
        <v>-1433580</v>
      </c>
      <c r="J69" s="18">
        <v>0</v>
      </c>
      <c r="K69" s="18">
        <v>0</v>
      </c>
      <c r="L69" s="18">
        <f t="shared" si="24"/>
        <v>-1433580</v>
      </c>
      <c r="M69" s="18"/>
      <c r="N69" s="18"/>
      <c r="O69" s="18">
        <f t="shared" si="25"/>
        <v>-1433580</v>
      </c>
      <c r="P69" s="18"/>
      <c r="Q69" s="18"/>
      <c r="R69" s="18">
        <f t="shared" si="26"/>
        <v>-1433580</v>
      </c>
    </row>
    <row r="70" spans="1:18" ht="17.25" customHeight="1">
      <c r="A70" s="21">
        <v>5</v>
      </c>
      <c r="B70" s="16" t="s">
        <v>590</v>
      </c>
      <c r="C70" s="16" t="s">
        <v>599</v>
      </c>
      <c r="D70" s="16" t="s">
        <v>30</v>
      </c>
      <c r="E70" s="17" t="s">
        <v>442</v>
      </c>
      <c r="F70" s="18">
        <v>-26561.11</v>
      </c>
      <c r="G70" s="18">
        <v>10501.61</v>
      </c>
      <c r="H70" s="18">
        <v>-9573.3799999999992</v>
      </c>
      <c r="I70" s="18">
        <f t="shared" si="23"/>
        <v>-25632.879999999997</v>
      </c>
      <c r="J70" s="18">
        <v>12126.2</v>
      </c>
      <c r="K70" s="18">
        <v>-9179.1</v>
      </c>
      <c r="L70" s="18">
        <f t="shared" si="24"/>
        <v>-22685.78</v>
      </c>
      <c r="M70" s="18">
        <v>2748.57</v>
      </c>
      <c r="N70" s="18">
        <v>-415.85</v>
      </c>
      <c r="O70" s="18">
        <f t="shared" si="25"/>
        <v>-20353.059999999998</v>
      </c>
      <c r="P70" s="18">
        <v>802.95</v>
      </c>
      <c r="Q70" s="18">
        <v>-10493.56</v>
      </c>
      <c r="R70" s="18">
        <f t="shared" si="26"/>
        <v>-30043.67</v>
      </c>
    </row>
    <row r="71" spans="1:18" ht="17.25" customHeight="1">
      <c r="B71" s="16">
        <v>640</v>
      </c>
      <c r="C71" s="16">
        <v>641</v>
      </c>
      <c r="D71" s="16">
        <v>6447</v>
      </c>
      <c r="E71" s="17" t="s">
        <v>1444</v>
      </c>
      <c r="F71" s="18">
        <v>0</v>
      </c>
      <c r="G71" s="18">
        <v>0</v>
      </c>
      <c r="H71" s="18">
        <v>-5200457.41</v>
      </c>
      <c r="I71" s="18">
        <f t="shared" si="23"/>
        <v>-5200457.41</v>
      </c>
      <c r="J71" s="18">
        <v>0</v>
      </c>
      <c r="K71" s="18">
        <v>-7144807.79</v>
      </c>
      <c r="L71" s="18">
        <f t="shared" si="24"/>
        <v>-12345265.199999999</v>
      </c>
      <c r="M71" s="18">
        <v>24897.64</v>
      </c>
      <c r="N71" s="18">
        <v>-5244737.95</v>
      </c>
      <c r="O71" s="18">
        <f>L71+M71+N71+6641267</f>
        <v>-10923838.509999998</v>
      </c>
      <c r="P71" s="18">
        <f>3955420.19+887498.18</f>
        <v>4842918.37</v>
      </c>
      <c r="Q71" s="18">
        <v>-6641267</v>
      </c>
      <c r="R71" s="18">
        <f t="shared" si="26"/>
        <v>-12722187.139999997</v>
      </c>
    </row>
    <row r="72" spans="1:18" ht="17.25" customHeight="1">
      <c r="A72" s="21">
        <v>5</v>
      </c>
      <c r="B72" s="16" t="s">
        <v>590</v>
      </c>
      <c r="C72" s="16" t="s">
        <v>599</v>
      </c>
      <c r="D72" s="16">
        <v>6448</v>
      </c>
      <c r="E72" s="17" t="s">
        <v>31</v>
      </c>
      <c r="F72" s="18">
        <v>-32618.76</v>
      </c>
      <c r="G72" s="18">
        <v>0</v>
      </c>
      <c r="H72" s="18">
        <v>0</v>
      </c>
      <c r="I72" s="18">
        <f t="shared" si="23"/>
        <v>-32618.76</v>
      </c>
      <c r="J72" s="18">
        <v>2500</v>
      </c>
      <c r="K72" s="18">
        <v>-2500</v>
      </c>
      <c r="L72" s="18">
        <f t="shared" si="24"/>
        <v>-32618.76</v>
      </c>
      <c r="M72" s="18"/>
      <c r="N72" s="18"/>
      <c r="O72" s="18">
        <f t="shared" si="25"/>
        <v>-32618.76</v>
      </c>
      <c r="P72" s="18"/>
      <c r="Q72" s="18"/>
      <c r="R72" s="18">
        <f t="shared" si="26"/>
        <v>-32618.76</v>
      </c>
    </row>
    <row r="73" spans="1:18" ht="17.25" customHeight="1">
      <c r="B73" s="16" t="s">
        <v>590</v>
      </c>
      <c r="C73" s="16" t="s">
        <v>599</v>
      </c>
      <c r="D73" s="16">
        <v>6451</v>
      </c>
      <c r="E73" s="17" t="s">
        <v>32</v>
      </c>
      <c r="F73" s="18">
        <v>-141100</v>
      </c>
      <c r="G73" s="18">
        <v>1529100</v>
      </c>
      <c r="H73" s="18">
        <v>-2388000</v>
      </c>
      <c r="I73" s="18">
        <f t="shared" si="23"/>
        <v>-1000000</v>
      </c>
      <c r="J73" s="18">
        <v>18431.88</v>
      </c>
      <c r="K73" s="18">
        <v>-1500000</v>
      </c>
      <c r="L73" s="18">
        <f t="shared" si="24"/>
        <v>-2481568.12</v>
      </c>
      <c r="M73" s="18"/>
      <c r="N73" s="18"/>
      <c r="O73" s="18">
        <f t="shared" si="25"/>
        <v>-2481568.12</v>
      </c>
      <c r="P73" s="18"/>
      <c r="Q73" s="18"/>
      <c r="R73" s="18">
        <f t="shared" si="26"/>
        <v>-2481568.12</v>
      </c>
    </row>
    <row r="74" spans="1:18" ht="17.25" customHeight="1">
      <c r="B74" s="16" t="s">
        <v>590</v>
      </c>
      <c r="C74" s="16" t="s">
        <v>599</v>
      </c>
      <c r="D74" s="16">
        <v>6454</v>
      </c>
      <c r="E74" s="17" t="s">
        <v>33</v>
      </c>
      <c r="F74" s="18">
        <v>-82600</v>
      </c>
      <c r="G74" s="18">
        <v>95000</v>
      </c>
      <c r="H74" s="18">
        <v>-95000</v>
      </c>
      <c r="I74" s="18">
        <f t="shared" si="23"/>
        <v>-82600</v>
      </c>
      <c r="J74" s="18">
        <v>0</v>
      </c>
      <c r="K74" s="18">
        <v>0</v>
      </c>
      <c r="L74" s="18">
        <f t="shared" si="24"/>
        <v>-82600</v>
      </c>
      <c r="M74" s="18">
        <v>35276</v>
      </c>
      <c r="N74" s="18"/>
      <c r="O74" s="18">
        <f t="shared" si="25"/>
        <v>-47324</v>
      </c>
      <c r="P74" s="18"/>
      <c r="Q74" s="18"/>
      <c r="R74" s="18">
        <f t="shared" si="26"/>
        <v>-47324</v>
      </c>
    </row>
    <row r="75" spans="1:18" ht="17.25" customHeight="1">
      <c r="B75" s="16">
        <v>640</v>
      </c>
      <c r="C75" s="16">
        <v>641</v>
      </c>
      <c r="D75" s="16">
        <v>6455</v>
      </c>
      <c r="E75" s="17" t="s">
        <v>1376</v>
      </c>
      <c r="F75" s="18">
        <v>-822017.94</v>
      </c>
      <c r="G75" s="18">
        <v>836611.99</v>
      </c>
      <c r="H75" s="18">
        <v>-261608.2</v>
      </c>
      <c r="I75" s="18">
        <f t="shared" si="23"/>
        <v>-247014.14999999997</v>
      </c>
      <c r="J75" s="18">
        <v>686933.96</v>
      </c>
      <c r="K75" s="18">
        <v>-507302.02</v>
      </c>
      <c r="L75" s="18">
        <f t="shared" si="24"/>
        <v>-67382.210000000021</v>
      </c>
      <c r="M75" s="18"/>
      <c r="N75" s="18"/>
      <c r="O75" s="18">
        <f t="shared" si="25"/>
        <v>-67382.210000000021</v>
      </c>
      <c r="P75" s="18">
        <v>67382.210000000006</v>
      </c>
      <c r="Q75" s="18"/>
      <c r="R75" s="18">
        <f t="shared" si="26"/>
        <v>0</v>
      </c>
    </row>
    <row r="76" spans="1:18" ht="17.25" customHeight="1">
      <c r="B76" s="16">
        <v>640</v>
      </c>
      <c r="C76" s="16">
        <v>641</v>
      </c>
      <c r="D76" s="16">
        <v>6459</v>
      </c>
      <c r="E76" s="17" t="s">
        <v>443</v>
      </c>
      <c r="F76" s="18">
        <v>-54586.69</v>
      </c>
      <c r="G76" s="18">
        <v>0</v>
      </c>
      <c r="H76" s="18">
        <v>0</v>
      </c>
      <c r="I76" s="18">
        <f t="shared" si="23"/>
        <v>-54586.69</v>
      </c>
      <c r="J76" s="18">
        <v>0</v>
      </c>
      <c r="K76" s="18">
        <v>0</v>
      </c>
      <c r="L76" s="18">
        <f t="shared" si="24"/>
        <v>-54586.69</v>
      </c>
      <c r="M76" s="18"/>
      <c r="N76" s="18"/>
      <c r="O76" s="18">
        <f t="shared" si="25"/>
        <v>-54586.69</v>
      </c>
      <c r="P76" s="18">
        <v>54586.69</v>
      </c>
      <c r="Q76" s="18"/>
      <c r="R76" s="18">
        <f t="shared" si="26"/>
        <v>0</v>
      </c>
    </row>
    <row r="77" spans="1:18" ht="17.25" customHeight="1">
      <c r="B77" s="16">
        <v>640</v>
      </c>
      <c r="C77" s="16">
        <v>641</v>
      </c>
      <c r="D77" s="16">
        <v>6461</v>
      </c>
      <c r="E77" s="17" t="s">
        <v>444</v>
      </c>
      <c r="F77" s="18">
        <v>0</v>
      </c>
      <c r="G77" s="18">
        <v>0</v>
      </c>
      <c r="H77" s="18">
        <v>-993208.67</v>
      </c>
      <c r="I77" s="18">
        <f t="shared" si="23"/>
        <v>-993208.67</v>
      </c>
      <c r="J77" s="18">
        <v>2691189.96</v>
      </c>
      <c r="K77" s="18">
        <v>-3160995.35</v>
      </c>
      <c r="L77" s="18">
        <f t="shared" si="24"/>
        <v>-1463014.06</v>
      </c>
      <c r="M77" s="18">
        <v>1441055.52</v>
      </c>
      <c r="N77" s="18"/>
      <c r="O77" s="18">
        <f t="shared" si="25"/>
        <v>-21958.540000000037</v>
      </c>
      <c r="P77" s="18"/>
      <c r="Q77" s="18"/>
      <c r="R77" s="18">
        <f t="shared" si="26"/>
        <v>-21958.540000000037</v>
      </c>
    </row>
    <row r="78" spans="1:18" ht="17.25" customHeight="1">
      <c r="B78" s="16">
        <v>640</v>
      </c>
      <c r="C78" s="16">
        <v>641</v>
      </c>
      <c r="D78" s="16">
        <v>6463</v>
      </c>
      <c r="E78" s="17" t="s">
        <v>449</v>
      </c>
      <c r="F78" s="18">
        <v>-1562266.36</v>
      </c>
      <c r="G78" s="18">
        <v>596157.11</v>
      </c>
      <c r="H78" s="18">
        <v>-1236697.06</v>
      </c>
      <c r="I78" s="18">
        <f t="shared" si="23"/>
        <v>-2202806.31</v>
      </c>
      <c r="J78" s="18">
        <v>361601.75</v>
      </c>
      <c r="K78" s="18">
        <v>-959385.82</v>
      </c>
      <c r="L78" s="18">
        <f t="shared" si="24"/>
        <v>-2800590.38</v>
      </c>
      <c r="M78" s="18">
        <v>1066199.94</v>
      </c>
      <c r="N78" s="18">
        <v>-2520970.5099999998</v>
      </c>
      <c r="O78" s="18">
        <f t="shared" si="25"/>
        <v>-4255360.9499999993</v>
      </c>
      <c r="P78" s="18">
        <v>787802.96</v>
      </c>
      <c r="Q78" s="18"/>
      <c r="R78" s="18">
        <f t="shared" si="26"/>
        <v>-3467557.9899999993</v>
      </c>
    </row>
    <row r="79" spans="1:18" ht="17.25" customHeight="1">
      <c r="B79" s="16">
        <v>640</v>
      </c>
      <c r="C79" s="16">
        <v>640</v>
      </c>
      <c r="D79" s="16">
        <v>6464</v>
      </c>
      <c r="E79" s="17" t="s">
        <v>1129</v>
      </c>
      <c r="F79" s="18">
        <v>0</v>
      </c>
      <c r="G79" s="18">
        <v>0</v>
      </c>
      <c r="H79" s="18">
        <v>-295466.28999999998</v>
      </c>
      <c r="I79" s="18">
        <f t="shared" si="23"/>
        <v>-295466.28999999998</v>
      </c>
      <c r="J79" s="18">
        <v>125784.43</v>
      </c>
      <c r="K79" s="18">
        <v>0</v>
      </c>
      <c r="L79" s="18">
        <f t="shared" si="24"/>
        <v>-169681.86</v>
      </c>
      <c r="M79" s="18"/>
      <c r="N79" s="18">
        <v>-164075.14000000001</v>
      </c>
      <c r="O79" s="18">
        <f t="shared" si="25"/>
        <v>-333757</v>
      </c>
      <c r="P79" s="18">
        <v>77764.399999999994</v>
      </c>
      <c r="Q79" s="18"/>
      <c r="R79" s="18">
        <f t="shared" si="26"/>
        <v>-255992.6</v>
      </c>
    </row>
    <row r="80" spans="1:18" ht="17.25" customHeight="1">
      <c r="B80" s="96">
        <v>640</v>
      </c>
      <c r="C80" s="96">
        <v>640</v>
      </c>
      <c r="D80" s="96">
        <v>6466</v>
      </c>
      <c r="E80" s="97" t="s">
        <v>838</v>
      </c>
      <c r="F80" s="98">
        <v>0</v>
      </c>
      <c r="G80" s="98">
        <v>0</v>
      </c>
      <c r="H80" s="98">
        <v>-211414.04</v>
      </c>
      <c r="I80" s="98">
        <f t="shared" si="23"/>
        <v>-211414.04</v>
      </c>
      <c r="J80" s="98">
        <v>0</v>
      </c>
      <c r="K80" s="98">
        <v>0</v>
      </c>
      <c r="L80" s="98">
        <f t="shared" si="24"/>
        <v>-211414.04</v>
      </c>
      <c r="M80" s="18"/>
      <c r="N80" s="18"/>
      <c r="O80" s="18">
        <f t="shared" si="25"/>
        <v>-211414.04</v>
      </c>
      <c r="P80" s="18">
        <v>211414.04</v>
      </c>
      <c r="Q80" s="18"/>
      <c r="R80" s="18">
        <f t="shared" si="26"/>
        <v>0</v>
      </c>
    </row>
    <row r="81" spans="2:18" ht="17.25" customHeight="1">
      <c r="B81" s="16">
        <v>640</v>
      </c>
      <c r="C81" s="16">
        <v>641</v>
      </c>
      <c r="D81" s="16">
        <v>6467</v>
      </c>
      <c r="E81" s="17" t="s">
        <v>1508</v>
      </c>
      <c r="F81" s="18"/>
      <c r="G81" s="18"/>
      <c r="H81" s="18"/>
      <c r="I81" s="18"/>
      <c r="J81" s="18">
        <v>2315197.25</v>
      </c>
      <c r="K81" s="18">
        <v>-2666807.96</v>
      </c>
      <c r="L81" s="18">
        <f t="shared" si="24"/>
        <v>-351610.70999999996</v>
      </c>
      <c r="M81" s="18"/>
      <c r="N81" s="18"/>
      <c r="O81" s="18">
        <f t="shared" si="25"/>
        <v>-351610.70999999996</v>
      </c>
      <c r="P81" s="18">
        <v>351610.71</v>
      </c>
      <c r="Q81" s="18"/>
      <c r="R81" s="18">
        <f t="shared" si="26"/>
        <v>0</v>
      </c>
    </row>
    <row r="82" spans="2:18" ht="17.25" customHeight="1">
      <c r="B82" s="16"/>
      <c r="C82" s="16"/>
      <c r="D82" s="16"/>
      <c r="E82" s="17" t="s">
        <v>2053</v>
      </c>
      <c r="F82" s="18"/>
      <c r="G82" s="18"/>
      <c r="H82" s="18"/>
      <c r="I82" s="18"/>
      <c r="J82" s="18"/>
      <c r="K82" s="18"/>
      <c r="L82" s="18"/>
      <c r="M82" s="18"/>
      <c r="N82" s="18">
        <v>-215723</v>
      </c>
      <c r="O82" s="18">
        <f t="shared" si="25"/>
        <v>-215723</v>
      </c>
      <c r="P82" s="18">
        <v>215723</v>
      </c>
      <c r="Q82" s="18"/>
      <c r="R82" s="18">
        <f t="shared" si="26"/>
        <v>0</v>
      </c>
    </row>
    <row r="83" spans="2:18" ht="17.25" customHeight="1">
      <c r="B83" s="16">
        <v>640</v>
      </c>
      <c r="C83" s="16">
        <v>641</v>
      </c>
      <c r="D83" s="16">
        <v>6468</v>
      </c>
      <c r="E83" s="17" t="s">
        <v>1509</v>
      </c>
      <c r="F83" s="18"/>
      <c r="G83" s="20"/>
      <c r="H83" s="20"/>
      <c r="I83" s="18"/>
      <c r="J83" s="18"/>
      <c r="K83" s="18">
        <v>-655764.94999999995</v>
      </c>
      <c r="L83" s="18">
        <f t="shared" si="24"/>
        <v>-655764.94999999995</v>
      </c>
      <c r="M83" s="18">
        <v>523562.44</v>
      </c>
      <c r="N83" s="18"/>
      <c r="O83" s="18">
        <f t="shared" si="25"/>
        <v>-132202.50999999995</v>
      </c>
      <c r="P83" s="18">
        <v>132202.51</v>
      </c>
      <c r="Q83" s="18"/>
      <c r="R83" s="18">
        <f t="shared" si="26"/>
        <v>0</v>
      </c>
    </row>
    <row r="84" spans="2:18" ht="17.25" customHeight="1">
      <c r="B84" s="16">
        <v>640</v>
      </c>
      <c r="C84" s="16">
        <v>641</v>
      </c>
      <c r="D84" s="16">
        <v>6471</v>
      </c>
      <c r="E84" s="17" t="s">
        <v>2402</v>
      </c>
      <c r="F84" s="18"/>
      <c r="G84" s="20"/>
      <c r="H84" s="20"/>
      <c r="I84" s="18"/>
      <c r="J84" s="18"/>
      <c r="K84" s="18"/>
      <c r="L84" s="18"/>
      <c r="M84" s="18"/>
      <c r="N84" s="18"/>
      <c r="O84" s="18"/>
      <c r="P84" s="18"/>
      <c r="Q84" s="18">
        <v>-174586.44</v>
      </c>
      <c r="R84" s="18">
        <f t="shared" si="26"/>
        <v>-174586.44</v>
      </c>
    </row>
    <row r="85" spans="2:18" ht="17.25" customHeight="1">
      <c r="B85" s="16">
        <v>640</v>
      </c>
      <c r="C85" s="16">
        <v>641</v>
      </c>
      <c r="D85" s="16">
        <v>6472</v>
      </c>
      <c r="E85" s="17" t="s">
        <v>2403</v>
      </c>
      <c r="F85" s="18"/>
      <c r="G85" s="20"/>
      <c r="H85" s="20"/>
      <c r="I85" s="18"/>
      <c r="J85" s="18"/>
      <c r="K85" s="18"/>
      <c r="L85" s="18"/>
      <c r="M85" s="18"/>
      <c r="N85" s="18"/>
      <c r="O85" s="18"/>
      <c r="P85" s="18"/>
      <c r="Q85" s="18">
        <v>-317113.51</v>
      </c>
      <c r="R85" s="18">
        <f t="shared" si="26"/>
        <v>-317113.51</v>
      </c>
    </row>
    <row r="86" spans="2:18" ht="17.25" customHeight="1">
      <c r="B86" s="16">
        <v>640</v>
      </c>
      <c r="C86" s="16">
        <v>641</v>
      </c>
      <c r="D86" s="16">
        <v>6473</v>
      </c>
      <c r="E86" s="17" t="s">
        <v>2404</v>
      </c>
      <c r="F86" s="18"/>
      <c r="G86" s="20"/>
      <c r="H86" s="20"/>
      <c r="I86" s="18"/>
      <c r="J86" s="18"/>
      <c r="K86" s="18"/>
      <c r="L86" s="18"/>
      <c r="M86" s="18"/>
      <c r="N86" s="18"/>
      <c r="O86" s="18"/>
      <c r="P86" s="18"/>
      <c r="Q86" s="18">
        <v>-522840.33</v>
      </c>
      <c r="R86" s="18">
        <f t="shared" si="26"/>
        <v>-522840.33</v>
      </c>
    </row>
    <row r="87" spans="2:18" ht="17.25" customHeight="1">
      <c r="B87" s="1652">
        <v>640</v>
      </c>
      <c r="C87" s="1652">
        <v>641</v>
      </c>
      <c r="D87" s="1652">
        <v>6474</v>
      </c>
      <c r="E87" s="1649" t="s">
        <v>2945</v>
      </c>
      <c r="F87" s="1650"/>
      <c r="G87" s="1651"/>
      <c r="H87" s="1651"/>
      <c r="I87" s="1650"/>
      <c r="J87" s="1650"/>
      <c r="K87" s="1650"/>
      <c r="L87" s="1650"/>
      <c r="M87" s="1650"/>
      <c r="N87" s="1650"/>
      <c r="O87" s="1650"/>
      <c r="P87" s="1650"/>
      <c r="Q87" s="1650">
        <v>-3243192</v>
      </c>
      <c r="R87" s="1650">
        <f t="shared" si="26"/>
        <v>-3243192</v>
      </c>
    </row>
    <row r="88" spans="2:18" ht="17.25" customHeight="1">
      <c r="B88" s="19" t="s">
        <v>590</v>
      </c>
      <c r="C88" s="19" t="s">
        <v>599</v>
      </c>
      <c r="D88" s="19" t="s">
        <v>1845</v>
      </c>
      <c r="E88" s="17" t="s">
        <v>1846</v>
      </c>
      <c r="F88" s="18"/>
      <c r="G88" s="20"/>
      <c r="H88" s="20"/>
      <c r="I88" s="18"/>
      <c r="J88" s="18"/>
      <c r="K88" s="18">
        <v>0</v>
      </c>
      <c r="L88" s="18">
        <f t="shared" si="24"/>
        <v>0</v>
      </c>
      <c r="M88" s="18">
        <v>0</v>
      </c>
      <c r="N88" s="18">
        <v>-2616262.73</v>
      </c>
      <c r="O88" s="18">
        <f t="shared" si="25"/>
        <v>-2616262.73</v>
      </c>
      <c r="P88" s="18">
        <v>2616262.73</v>
      </c>
      <c r="Q88" s="18"/>
      <c r="R88" s="18">
        <f t="shared" si="26"/>
        <v>0</v>
      </c>
    </row>
    <row r="89" spans="2:18" ht="17.25" customHeight="1">
      <c r="B89" s="1648"/>
      <c r="C89" s="1648"/>
      <c r="D89" s="1648"/>
      <c r="E89" s="1649" t="s">
        <v>2907</v>
      </c>
      <c r="F89" s="1650"/>
      <c r="G89" s="1651"/>
      <c r="H89" s="1651"/>
      <c r="I89" s="1650"/>
      <c r="J89" s="1650"/>
      <c r="K89" s="1650"/>
      <c r="L89" s="1650"/>
      <c r="M89" s="1650"/>
      <c r="N89" s="1650"/>
      <c r="O89" s="1650">
        <v>-179508.17</v>
      </c>
      <c r="P89" s="1650"/>
      <c r="Q89" s="1650">
        <v>-1234138.83</v>
      </c>
      <c r="R89" s="1650">
        <f t="shared" si="26"/>
        <v>-1413647</v>
      </c>
    </row>
    <row r="90" spans="2:18" ht="17.25" customHeight="1">
      <c r="B90" s="16">
        <v>640</v>
      </c>
      <c r="C90" s="16">
        <v>641</v>
      </c>
      <c r="D90" s="16">
        <v>6481</v>
      </c>
      <c r="E90" s="17" t="s">
        <v>1803</v>
      </c>
      <c r="F90" s="18"/>
      <c r="G90" s="20"/>
      <c r="H90" s="20"/>
      <c r="I90" s="18"/>
      <c r="J90" s="18"/>
      <c r="K90" s="18"/>
      <c r="L90" s="18"/>
      <c r="M90" s="18"/>
      <c r="N90" s="18">
        <v>-964441.63</v>
      </c>
      <c r="O90" s="18">
        <f t="shared" si="25"/>
        <v>-964441.63</v>
      </c>
      <c r="P90" s="18">
        <v>102672.77</v>
      </c>
      <c r="Q90" s="18">
        <v>-924922.02</v>
      </c>
      <c r="R90" s="18">
        <f t="shared" si="26"/>
        <v>-1786690.88</v>
      </c>
    </row>
    <row r="91" spans="2:18" ht="17.25" customHeight="1">
      <c r="B91" s="16">
        <v>640</v>
      </c>
      <c r="C91" s="16">
        <v>641</v>
      </c>
      <c r="D91" s="16">
        <v>6482</v>
      </c>
      <c r="E91" s="17" t="s">
        <v>1804</v>
      </c>
      <c r="F91" s="18"/>
      <c r="G91" s="20"/>
      <c r="H91" s="20"/>
      <c r="I91" s="18"/>
      <c r="J91" s="18"/>
      <c r="K91" s="18"/>
      <c r="L91" s="18"/>
      <c r="M91" s="18"/>
      <c r="N91" s="18">
        <v>-940000</v>
      </c>
      <c r="O91" s="18">
        <f t="shared" si="25"/>
        <v>-940000</v>
      </c>
      <c r="P91" s="18">
        <v>86716.479999999996</v>
      </c>
      <c r="Q91" s="18"/>
      <c r="R91" s="18">
        <f t="shared" si="26"/>
        <v>-853283.52</v>
      </c>
    </row>
    <row r="92" spans="2:18" ht="17.25" customHeight="1">
      <c r="B92" s="16">
        <v>640</v>
      </c>
      <c r="C92" s="16">
        <v>641</v>
      </c>
      <c r="D92" s="16">
        <v>6484</v>
      </c>
      <c r="E92" s="17" t="s">
        <v>2027</v>
      </c>
      <c r="F92" s="18"/>
      <c r="G92" s="20"/>
      <c r="H92" s="20"/>
      <c r="I92" s="18"/>
      <c r="J92" s="18"/>
      <c r="K92" s="18"/>
      <c r="L92" s="18"/>
      <c r="M92" s="18"/>
      <c r="N92" s="18">
        <v>-5234591.3099999996</v>
      </c>
      <c r="O92" s="18">
        <f t="shared" si="25"/>
        <v>-5234591.3099999996</v>
      </c>
      <c r="P92" s="18">
        <v>374479.11</v>
      </c>
      <c r="Q92" s="18"/>
      <c r="R92" s="18">
        <f t="shared" si="26"/>
        <v>-4860112.1999999993</v>
      </c>
    </row>
    <row r="93" spans="2:18" ht="17.25" customHeight="1">
      <c r="B93" s="16">
        <v>640</v>
      </c>
      <c r="C93" s="16">
        <v>641</v>
      </c>
      <c r="D93" s="16">
        <v>6483</v>
      </c>
      <c r="E93" s="17" t="s">
        <v>1805</v>
      </c>
      <c r="F93" s="18"/>
      <c r="G93" s="20"/>
      <c r="H93" s="20"/>
      <c r="I93" s="18"/>
      <c r="J93" s="18"/>
      <c r="K93" s="18"/>
      <c r="L93" s="18"/>
      <c r="M93" s="18"/>
      <c r="N93" s="18">
        <v>-419555.2</v>
      </c>
      <c r="O93" s="18">
        <f t="shared" si="25"/>
        <v>-419555.2</v>
      </c>
      <c r="P93" s="18"/>
      <c r="Q93" s="18">
        <v>-458702.19</v>
      </c>
      <c r="R93" s="18">
        <f t="shared" si="26"/>
        <v>-878257.39</v>
      </c>
    </row>
    <row r="94" spans="2:18" ht="17.25" customHeight="1" thickBot="1">
      <c r="B94" s="111"/>
      <c r="C94" s="111"/>
      <c r="D94" s="111"/>
      <c r="L94" s="29"/>
      <c r="M94" s="113"/>
      <c r="N94" s="113"/>
    </row>
    <row r="95" spans="2:18" ht="17.25" customHeight="1" thickTop="1" thickBot="1">
      <c r="B95" s="23" t="s">
        <v>558</v>
      </c>
      <c r="C95" s="23"/>
      <c r="D95" s="23"/>
      <c r="E95" s="23" t="s">
        <v>1377</v>
      </c>
      <c r="F95" s="22">
        <f>SUM(F63:F83)</f>
        <v>-4692893.7300000004</v>
      </c>
      <c r="G95" s="22">
        <f>SUM(G63:G83)</f>
        <v>14504411.959999997</v>
      </c>
      <c r="H95" s="22">
        <f>SUM(H63:H83)</f>
        <v>-22855079.199999996</v>
      </c>
      <c r="I95" s="22">
        <f>SUM(I63:I83)</f>
        <v>-13043560.969999999</v>
      </c>
      <c r="J95" s="22">
        <f>SUM(J63:J83)</f>
        <v>8718615.5999999996</v>
      </c>
      <c r="K95" s="22">
        <f>SUM(K63:K88)</f>
        <v>-18757349.23</v>
      </c>
      <c r="L95" s="22">
        <f>SUM(L63:L88)</f>
        <v>-23082294.599999998</v>
      </c>
      <c r="M95" s="22">
        <f>SUM(M63:M94)</f>
        <v>14623615.449999999</v>
      </c>
      <c r="N95" s="22">
        <f>SUM(N63:N94)</f>
        <v>-30469255.449999996</v>
      </c>
      <c r="O95" s="22">
        <f>SUM(O63:O94)</f>
        <v>-32466175.77</v>
      </c>
      <c r="P95" s="22">
        <f t="shared" ref="P95:R95" si="27">SUM(P63:P94)</f>
        <v>12420069.790000001</v>
      </c>
      <c r="Q95" s="22">
        <f t="shared" si="27"/>
        <v>-14695782.129999999</v>
      </c>
      <c r="R95" s="22">
        <f t="shared" si="27"/>
        <v>-34741888.109999999</v>
      </c>
    </row>
    <row r="96" spans="2:18" ht="17.25" customHeight="1" thickTop="1" thickBot="1">
      <c r="B96" s="111"/>
      <c r="C96" s="111"/>
      <c r="D96" s="111"/>
      <c r="M96" s="113"/>
      <c r="N96" s="113"/>
      <c r="O96" s="113">
        <f t="shared" si="25"/>
        <v>0</v>
      </c>
    </row>
    <row r="97" spans="1:44" ht="17.25" customHeight="1" thickTop="1" thickBot="1">
      <c r="B97" s="25" t="s">
        <v>1460</v>
      </c>
      <c r="C97" s="26"/>
      <c r="D97" s="24"/>
      <c r="E97" s="23" t="s">
        <v>1378</v>
      </c>
      <c r="F97" s="22">
        <f t="shared" ref="F97:R97" si="28">F95+F61</f>
        <v>-11607021.239999998</v>
      </c>
      <c r="G97" s="22">
        <f t="shared" si="28"/>
        <v>29927298.149999999</v>
      </c>
      <c r="H97" s="22">
        <f t="shared" si="28"/>
        <v>-37497153.50999999</v>
      </c>
      <c r="I97" s="22">
        <f t="shared" si="28"/>
        <v>-19176876.599999998</v>
      </c>
      <c r="J97" s="22">
        <f t="shared" si="28"/>
        <v>26997270.229999997</v>
      </c>
      <c r="K97" s="22">
        <f t="shared" si="28"/>
        <v>-48392384.75</v>
      </c>
      <c r="L97" s="22">
        <f t="shared" si="28"/>
        <v>-40571991.11999999</v>
      </c>
      <c r="M97" s="22">
        <f t="shared" si="28"/>
        <v>48050181.939999998</v>
      </c>
      <c r="N97" s="22">
        <f t="shared" si="28"/>
        <v>-75262304.680000007</v>
      </c>
      <c r="O97" s="22">
        <f t="shared" si="28"/>
        <v>-61322355.030000001</v>
      </c>
      <c r="P97" s="22">
        <f t="shared" si="28"/>
        <v>49232253.710000001</v>
      </c>
      <c r="Q97" s="22">
        <f t="shared" si="28"/>
        <v>-60222217.769999996</v>
      </c>
      <c r="R97" s="22">
        <f t="shared" si="28"/>
        <v>-72312319.090000004</v>
      </c>
    </row>
    <row r="98" spans="1:44" ht="17.25" customHeight="1" thickTop="1">
      <c r="B98" s="111"/>
      <c r="C98" s="111"/>
      <c r="D98" s="111"/>
      <c r="L98" s="113">
        <f t="shared" ref="L98:L103" si="29">+I98+J98+K98</f>
        <v>0</v>
      </c>
      <c r="M98" s="113"/>
      <c r="N98" s="113"/>
      <c r="O98" s="113">
        <f t="shared" si="25"/>
        <v>0</v>
      </c>
    </row>
    <row r="99" spans="1:44" s="117" customFormat="1" ht="17.25" customHeight="1">
      <c r="B99" s="16">
        <v>800</v>
      </c>
      <c r="C99" s="16">
        <v>800</v>
      </c>
      <c r="D99" s="16">
        <v>8031</v>
      </c>
      <c r="E99" s="17" t="s">
        <v>1130</v>
      </c>
      <c r="F99" s="18">
        <v>20757593.469999999</v>
      </c>
      <c r="G99" s="18">
        <v>3681771.44</v>
      </c>
      <c r="H99" s="18">
        <v>-2438863.15</v>
      </c>
      <c r="I99" s="18">
        <f>SUM(F99:H99)</f>
        <v>22000501.760000002</v>
      </c>
      <c r="J99" s="18">
        <f>3816536.47+541534.77</f>
        <v>4358071.24</v>
      </c>
      <c r="K99" s="18">
        <v>0</v>
      </c>
      <c r="L99" s="18">
        <f t="shared" si="29"/>
        <v>26358573</v>
      </c>
      <c r="M99" s="18">
        <f>2144982.88+30164.12</f>
        <v>2175147</v>
      </c>
      <c r="N99" s="20"/>
      <c r="O99" s="18">
        <f t="shared" si="25"/>
        <v>28533720</v>
      </c>
      <c r="P99" s="18">
        <f>2597187.83+44703.18+137137</f>
        <v>2779028.0100000002</v>
      </c>
      <c r="Q99" s="18">
        <f>-54586.69-15588.97-44703.18</f>
        <v>-114878.84</v>
      </c>
      <c r="R99" s="18">
        <f t="shared" ref="R99:R103" si="30">SUM(O99:Q99)</f>
        <v>31197869.170000002</v>
      </c>
      <c r="S99" s="113">
        <f t="shared" ref="S99:S101" si="31">R99</f>
        <v>31197869.170000002</v>
      </c>
      <c r="T99" s="113"/>
      <c r="U99" s="113"/>
      <c r="V99" s="113"/>
      <c r="W99" s="113"/>
      <c r="X99" s="114"/>
      <c r="Y99" s="114"/>
      <c r="Z99" s="114"/>
      <c r="AA99" s="114"/>
      <c r="AB99" s="114"/>
      <c r="AC99" s="114"/>
      <c r="AD99" s="114"/>
      <c r="AE99" s="114"/>
      <c r="AF99" s="114"/>
      <c r="AG99" s="114"/>
      <c r="AH99" s="114"/>
      <c r="AI99" s="114"/>
      <c r="AJ99" s="114"/>
      <c r="AK99" s="114"/>
      <c r="AL99" s="114"/>
      <c r="AM99" s="114"/>
      <c r="AN99" s="114"/>
      <c r="AO99" s="114"/>
      <c r="AP99" s="114"/>
      <c r="AQ99" s="114"/>
      <c r="AR99" s="114"/>
    </row>
    <row r="100" spans="1:44" s="117" customFormat="1" ht="17.25" customHeight="1">
      <c r="B100" s="16">
        <v>800</v>
      </c>
      <c r="C100" s="16">
        <v>800</v>
      </c>
      <c r="D100" s="16">
        <v>8032</v>
      </c>
      <c r="E100" s="17" t="s">
        <v>1353</v>
      </c>
      <c r="F100" s="18">
        <v>24099683.079999998</v>
      </c>
      <c r="G100" s="18">
        <v>85498365.909999996</v>
      </c>
      <c r="H100" s="18">
        <v>-8493.8700000000008</v>
      </c>
      <c r="I100" s="18">
        <f>SUM(F100:H100)</f>
        <v>109589555.11999999</v>
      </c>
      <c r="J100" s="18">
        <v>0</v>
      </c>
      <c r="K100" s="18">
        <v>-32325962.920000002</v>
      </c>
      <c r="L100" s="18">
        <f>+I100+J100+K100+0.05</f>
        <v>77263592.249999985</v>
      </c>
      <c r="M100" s="18">
        <f>4283856.96+275558.37+280444.8+215723</f>
        <v>5055583.13</v>
      </c>
      <c r="N100" s="20">
        <v>-218000</v>
      </c>
      <c r="O100" s="18">
        <f t="shared" si="25"/>
        <v>82101175.37999998</v>
      </c>
      <c r="P100" s="18">
        <f>10894417.07+301227.52</f>
        <v>11195644.59</v>
      </c>
      <c r="Q100" s="18">
        <v>-910950.12</v>
      </c>
      <c r="R100" s="18">
        <f t="shared" si="30"/>
        <v>92385869.849999979</v>
      </c>
      <c r="S100" s="113">
        <f t="shared" si="31"/>
        <v>92385869.849999979</v>
      </c>
      <c r="T100" s="113"/>
      <c r="U100" s="113"/>
      <c r="V100" s="113"/>
      <c r="W100" s="113"/>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row>
    <row r="101" spans="1:44" s="117" customFormat="1" ht="17.25" customHeight="1">
      <c r="B101" s="16">
        <v>800</v>
      </c>
      <c r="C101" s="16">
        <v>800</v>
      </c>
      <c r="D101" s="16">
        <v>8033</v>
      </c>
      <c r="E101" s="17" t="s">
        <v>1354</v>
      </c>
      <c r="F101" s="18">
        <v>8780077.8000000007</v>
      </c>
      <c r="G101" s="18">
        <v>105858552.62</v>
      </c>
      <c r="H101" s="18">
        <v>-102546343.53</v>
      </c>
      <c r="I101" s="18">
        <f>SUM(F101:H101)</f>
        <v>12092286.890000001</v>
      </c>
      <c r="J101" s="18">
        <v>4257415.1399999997</v>
      </c>
      <c r="K101" s="18">
        <v>0</v>
      </c>
      <c r="L101" s="18">
        <f>+I101+J101+K101+0.03</f>
        <v>16349702.060000001</v>
      </c>
      <c r="M101" s="18">
        <f>1139577.92-423376.42-423376.42</f>
        <v>292825.08</v>
      </c>
      <c r="N101" s="20">
        <v>0</v>
      </c>
      <c r="O101" s="18">
        <f t="shared" si="25"/>
        <v>16642527.140000001</v>
      </c>
      <c r="P101" s="18">
        <f>2162200.3+2149013.16-2162200.3+1406448.48</f>
        <v>3555461.64</v>
      </c>
      <c r="Q101" s="18">
        <v>-1328801.25</v>
      </c>
      <c r="R101" s="18">
        <f t="shared" si="30"/>
        <v>18869187.530000001</v>
      </c>
      <c r="S101" s="113">
        <f t="shared" si="31"/>
        <v>18869187.530000001</v>
      </c>
      <c r="T101" s="113"/>
      <c r="U101" s="113"/>
      <c r="V101" s="113"/>
      <c r="W101" s="113"/>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row>
    <row r="102" spans="1:44" s="117" customFormat="1" ht="17.25" customHeight="1">
      <c r="B102" s="16">
        <v>800</v>
      </c>
      <c r="C102" s="16">
        <v>800</v>
      </c>
      <c r="D102" s="16">
        <v>8034</v>
      </c>
      <c r="E102" s="17" t="s">
        <v>1675</v>
      </c>
      <c r="F102" s="18"/>
      <c r="G102" s="18"/>
      <c r="H102" s="18"/>
      <c r="I102" s="18"/>
      <c r="J102" s="18">
        <v>700</v>
      </c>
      <c r="K102" s="18"/>
      <c r="L102" s="18">
        <f t="shared" si="29"/>
        <v>700</v>
      </c>
      <c r="M102" s="20">
        <v>423376.42</v>
      </c>
      <c r="N102" s="20">
        <v>0</v>
      </c>
      <c r="O102" s="18">
        <f t="shared" si="25"/>
        <v>424076.42</v>
      </c>
      <c r="P102" s="18"/>
      <c r="Q102" s="18">
        <v>-266515.82</v>
      </c>
      <c r="R102" s="18">
        <f t="shared" si="30"/>
        <v>157560.59999999998</v>
      </c>
      <c r="S102" s="113">
        <v>0</v>
      </c>
      <c r="T102" s="113"/>
      <c r="U102" s="113"/>
      <c r="V102" s="113"/>
      <c r="W102" s="113"/>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row>
    <row r="103" spans="1:44" s="117" customFormat="1" ht="17.25" customHeight="1">
      <c r="B103" s="16">
        <v>800</v>
      </c>
      <c r="C103" s="16">
        <v>800</v>
      </c>
      <c r="D103" s="16">
        <v>8035</v>
      </c>
      <c r="E103" s="17" t="s">
        <v>1676</v>
      </c>
      <c r="F103" s="18"/>
      <c r="G103" s="18"/>
      <c r="H103" s="18"/>
      <c r="I103" s="18"/>
      <c r="J103" s="18">
        <v>52296220</v>
      </c>
      <c r="K103" s="18">
        <v>-2765370</v>
      </c>
      <c r="L103" s="18">
        <f t="shared" si="29"/>
        <v>49530850</v>
      </c>
      <c r="M103" s="20">
        <v>218000</v>
      </c>
      <c r="N103" s="20">
        <v>-14042850</v>
      </c>
      <c r="O103" s="18">
        <f t="shared" si="25"/>
        <v>35706000</v>
      </c>
      <c r="P103" s="18"/>
      <c r="Q103" s="18">
        <f>-465000</f>
        <v>-465000</v>
      </c>
      <c r="R103" s="18">
        <f t="shared" si="30"/>
        <v>35241000</v>
      </c>
      <c r="S103" s="113">
        <f>SUM(S8:S102)</f>
        <v>106115474.84999998</v>
      </c>
      <c r="T103" s="113"/>
      <c r="U103" s="113"/>
      <c r="V103" s="113"/>
      <c r="W103" s="113"/>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row>
    <row r="104" spans="1:44" s="117" customFormat="1" ht="17.25" customHeight="1" thickBot="1">
      <c r="B104" s="107"/>
      <c r="C104" s="107"/>
      <c r="D104" s="107"/>
      <c r="F104" s="114"/>
      <c r="G104" s="114"/>
      <c r="H104" s="114"/>
      <c r="I104" s="114"/>
      <c r="J104" s="114"/>
      <c r="K104" s="114"/>
      <c r="L104" s="114"/>
      <c r="M104" s="114"/>
      <c r="N104" s="114"/>
      <c r="O104" s="113">
        <f t="shared" si="25"/>
        <v>0</v>
      </c>
      <c r="P104" s="113"/>
      <c r="Q104" s="113"/>
      <c r="R104" s="113"/>
      <c r="S104" s="113"/>
      <c r="T104" s="113"/>
      <c r="U104" s="113"/>
      <c r="V104" s="113"/>
      <c r="W104" s="113"/>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row>
    <row r="105" spans="1:44" s="117" customFormat="1" ht="17.25" customHeight="1" thickTop="1" thickBot="1">
      <c r="B105" s="25" t="s">
        <v>1460</v>
      </c>
      <c r="C105" s="26"/>
      <c r="D105" s="24"/>
      <c r="E105" s="23" t="s">
        <v>1379</v>
      </c>
      <c r="F105" s="22">
        <f t="shared" ref="F105:R105" si="32">SUM(F99:F104)</f>
        <v>53637354.349999994</v>
      </c>
      <c r="G105" s="22">
        <f t="shared" si="32"/>
        <v>195038689.97</v>
      </c>
      <c r="H105" s="22">
        <f t="shared" si="32"/>
        <v>-104993700.55</v>
      </c>
      <c r="I105" s="22">
        <f t="shared" si="32"/>
        <v>143682343.76999998</v>
      </c>
      <c r="J105" s="22">
        <f t="shared" si="32"/>
        <v>60912406.379999995</v>
      </c>
      <c r="K105" s="22">
        <f t="shared" si="32"/>
        <v>-35091332.920000002</v>
      </c>
      <c r="L105" s="22">
        <f t="shared" si="32"/>
        <v>169503417.31</v>
      </c>
      <c r="M105" s="22">
        <f t="shared" si="32"/>
        <v>8164931.6299999999</v>
      </c>
      <c r="N105" s="22">
        <f t="shared" si="32"/>
        <v>-14260850</v>
      </c>
      <c r="O105" s="22">
        <f t="shared" si="32"/>
        <v>163407498.94</v>
      </c>
      <c r="P105" s="22">
        <f t="shared" si="32"/>
        <v>17530134.239999998</v>
      </c>
      <c r="Q105" s="22">
        <f t="shared" si="32"/>
        <v>-3086146.03</v>
      </c>
      <c r="R105" s="22">
        <f t="shared" si="32"/>
        <v>177851487.14999998</v>
      </c>
      <c r="S105" s="113"/>
      <c r="T105" s="113">
        <f>-175107579.59-2277</f>
        <v>-175109856.59</v>
      </c>
      <c r="U105" s="113"/>
      <c r="V105" s="113"/>
      <c r="W105" s="113"/>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row>
    <row r="106" spans="1:44" ht="17.25" customHeight="1" thickTop="1">
      <c r="B106" s="111"/>
      <c r="C106" s="111"/>
      <c r="D106" s="111"/>
      <c r="M106" s="113"/>
      <c r="N106" s="113"/>
      <c r="O106" s="113">
        <f t="shared" si="25"/>
        <v>0</v>
      </c>
    </row>
    <row r="107" spans="1:44" ht="17.25" customHeight="1">
      <c r="A107" s="21">
        <v>5</v>
      </c>
      <c r="B107" s="16" t="s">
        <v>1072</v>
      </c>
      <c r="C107" s="16" t="s">
        <v>1072</v>
      </c>
      <c r="D107" s="16" t="s">
        <v>1073</v>
      </c>
      <c r="E107" s="17" t="s">
        <v>696</v>
      </c>
      <c r="F107" s="18">
        <v>87947.05</v>
      </c>
      <c r="G107" s="18">
        <v>0</v>
      </c>
      <c r="H107" s="18">
        <v>-87947.05</v>
      </c>
      <c r="I107" s="18">
        <f>SUM(F107:H107)</f>
        <v>0</v>
      </c>
      <c r="J107" s="18">
        <v>0</v>
      </c>
      <c r="K107" s="18">
        <v>0</v>
      </c>
      <c r="L107" s="18">
        <f>+I107+J107+K107</f>
        <v>0</v>
      </c>
      <c r="M107" s="18">
        <v>1524042.19</v>
      </c>
      <c r="N107" s="18">
        <v>-16213.42</v>
      </c>
      <c r="O107" s="310">
        <f t="shared" si="25"/>
        <v>1507828.77</v>
      </c>
      <c r="P107" s="18">
        <v>4180309.82</v>
      </c>
      <c r="Q107" s="18">
        <v>-1809393.03</v>
      </c>
      <c r="R107" s="18">
        <f t="shared" ref="R107:R108" si="33">SUM(O107:Q107)</f>
        <v>3878745.5599999996</v>
      </c>
    </row>
    <row r="108" spans="1:44" s="1580" customFormat="1" ht="17.25" customHeight="1">
      <c r="A108" s="1580">
        <v>5</v>
      </c>
      <c r="B108" s="16" t="s">
        <v>1072</v>
      </c>
      <c r="C108" s="16" t="s">
        <v>1072</v>
      </c>
      <c r="D108" s="16" t="s">
        <v>1319</v>
      </c>
      <c r="E108" s="17" t="s">
        <v>1074</v>
      </c>
      <c r="F108" s="18">
        <f>100+2101697</f>
        <v>2101797</v>
      </c>
      <c r="G108" s="18">
        <v>2032013</v>
      </c>
      <c r="H108" s="18">
        <v>0</v>
      </c>
      <c r="I108" s="18">
        <f>SUM(F108:H108)</f>
        <v>4133810</v>
      </c>
      <c r="J108" s="18">
        <v>2593404.2200000002</v>
      </c>
      <c r="K108" s="18" t="s">
        <v>2906</v>
      </c>
      <c r="L108" s="18">
        <v>503815.92</v>
      </c>
      <c r="M108" s="18">
        <v>2856803.93</v>
      </c>
      <c r="N108" s="18">
        <v>-2856803.93</v>
      </c>
      <c r="O108" s="310">
        <f t="shared" si="25"/>
        <v>503815.91999999993</v>
      </c>
      <c r="P108" s="18">
        <v>0</v>
      </c>
      <c r="Q108" s="18">
        <v>-503815.92</v>
      </c>
      <c r="R108" s="18">
        <f t="shared" si="33"/>
        <v>0</v>
      </c>
      <c r="S108" s="1582"/>
      <c r="T108" s="1582"/>
      <c r="U108" s="1582"/>
      <c r="V108" s="1582"/>
      <c r="W108" s="1582"/>
      <c r="X108" s="1582"/>
      <c r="Y108" s="1582"/>
      <c r="Z108" s="1582"/>
      <c r="AA108" s="1582"/>
      <c r="AB108" s="1582"/>
      <c r="AC108" s="1582"/>
      <c r="AD108" s="1582"/>
      <c r="AE108" s="1582"/>
      <c r="AF108" s="1582"/>
      <c r="AG108" s="1582"/>
      <c r="AH108" s="1582"/>
      <c r="AI108" s="1582"/>
      <c r="AJ108" s="1582"/>
      <c r="AK108" s="1582"/>
      <c r="AL108" s="1582"/>
      <c r="AM108" s="1582"/>
      <c r="AN108" s="1582"/>
      <c r="AO108" s="1582"/>
      <c r="AP108" s="1582"/>
      <c r="AQ108" s="1582"/>
      <c r="AR108" s="1582"/>
    </row>
    <row r="109" spans="1:44" ht="17.25" customHeight="1" thickBot="1">
      <c r="B109" s="111"/>
      <c r="C109" s="111"/>
      <c r="D109" s="111"/>
      <c r="M109" s="113"/>
      <c r="N109" s="113"/>
      <c r="O109" s="113">
        <f t="shared" si="25"/>
        <v>0</v>
      </c>
      <c r="P109" s="98"/>
      <c r="Q109" s="98"/>
      <c r="R109" s="98"/>
    </row>
    <row r="110" spans="1:44" ht="17.25" customHeight="1" thickTop="1" thickBot="1">
      <c r="B110" s="25" t="s">
        <v>1460</v>
      </c>
      <c r="C110" s="26"/>
      <c r="D110" s="24"/>
      <c r="E110" s="23" t="s">
        <v>1328</v>
      </c>
      <c r="F110" s="22">
        <f>SUM(F107:F109)</f>
        <v>2189744.0499999998</v>
      </c>
      <c r="G110" s="22">
        <f t="shared" ref="G110:L110" si="34">SUM(G107:G109)</f>
        <v>2032013</v>
      </c>
      <c r="H110" s="22">
        <f t="shared" si="34"/>
        <v>-87947.05</v>
      </c>
      <c r="I110" s="22">
        <f t="shared" si="34"/>
        <v>4133810</v>
      </c>
      <c r="J110" s="22">
        <f t="shared" si="34"/>
        <v>2593404.2200000002</v>
      </c>
      <c r="K110" s="22">
        <f t="shared" si="34"/>
        <v>0</v>
      </c>
      <c r="L110" s="22">
        <f t="shared" si="34"/>
        <v>503815.92</v>
      </c>
      <c r="M110" s="22">
        <f>SUM(M107:M109)</f>
        <v>4380846.12</v>
      </c>
      <c r="N110" s="22">
        <f>SUM(N107:N109)</f>
        <v>-2873017.35</v>
      </c>
      <c r="O110" s="22">
        <f>SUM(O107:O109)</f>
        <v>2011644.69</v>
      </c>
      <c r="P110" s="22">
        <f t="shared" ref="P110:R110" si="35">SUM(P107:P109)</f>
        <v>4180309.82</v>
      </c>
      <c r="Q110" s="22">
        <f t="shared" si="35"/>
        <v>-2313208.9500000002</v>
      </c>
      <c r="R110" s="22">
        <f t="shared" si="35"/>
        <v>3878745.5599999996</v>
      </c>
    </row>
    <row r="111" spans="1:44" ht="17.25" customHeight="1" thickTop="1">
      <c r="B111" s="111"/>
      <c r="C111" s="111"/>
      <c r="D111" s="111"/>
      <c r="M111" s="113"/>
      <c r="N111" s="113"/>
      <c r="O111" s="113">
        <f t="shared" si="25"/>
        <v>0</v>
      </c>
    </row>
    <row r="112" spans="1:44" s="117" customFormat="1" ht="17.25" customHeight="1">
      <c r="A112" s="117">
        <v>5</v>
      </c>
      <c r="B112" s="16" t="s">
        <v>547</v>
      </c>
      <c r="C112" s="16" t="s">
        <v>547</v>
      </c>
      <c r="D112" s="16" t="s">
        <v>1075</v>
      </c>
      <c r="E112" s="17" t="s">
        <v>1076</v>
      </c>
      <c r="F112" s="18">
        <v>387498.98</v>
      </c>
      <c r="G112" s="18">
        <v>122689389.23</v>
      </c>
      <c r="H112" s="18">
        <v>-120852997.36</v>
      </c>
      <c r="I112" s="18">
        <f>SUM(F112:H112)</f>
        <v>2223890.8500000089</v>
      </c>
      <c r="J112" s="18">
        <v>2812620.19</v>
      </c>
      <c r="K112" s="18">
        <v>-3738593.24</v>
      </c>
      <c r="L112" s="18">
        <f>+I112+J112+K112</f>
        <v>1297917.8000000082</v>
      </c>
      <c r="M112" s="18">
        <v>2566616.09</v>
      </c>
      <c r="N112" s="18">
        <v>-2562612.5499999998</v>
      </c>
      <c r="O112" s="310">
        <f t="shared" si="25"/>
        <v>1301921.3400000082</v>
      </c>
      <c r="P112" s="18">
        <f>2234218.67+260605.44+37343.58+1355.66</f>
        <v>2533523.35</v>
      </c>
      <c r="Q112" s="18">
        <v>-2519205.36</v>
      </c>
      <c r="R112" s="18">
        <f t="shared" ref="R112:R113" si="36">SUM(O112:Q112)</f>
        <v>1316239.3300000085</v>
      </c>
      <c r="S112" s="113"/>
      <c r="T112" s="113"/>
      <c r="U112" s="113"/>
      <c r="V112" s="113"/>
      <c r="W112" s="113"/>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row>
    <row r="113" spans="1:44" s="117" customFormat="1" ht="17.25" customHeight="1">
      <c r="B113" s="16">
        <v>920</v>
      </c>
      <c r="C113" s="16">
        <v>920</v>
      </c>
      <c r="D113" s="16">
        <v>9201</v>
      </c>
      <c r="E113" s="17" t="s">
        <v>1677</v>
      </c>
      <c r="F113" s="18"/>
      <c r="G113" s="18"/>
      <c r="H113" s="18"/>
      <c r="I113" s="18"/>
      <c r="J113" s="18">
        <v>90276582.099999994</v>
      </c>
      <c r="K113" s="18"/>
      <c r="L113" s="18">
        <f>+I113+J113+K113</f>
        <v>90276582.099999994</v>
      </c>
      <c r="M113" s="20"/>
      <c r="N113" s="20">
        <v>-10163462</v>
      </c>
      <c r="O113" s="310">
        <f t="shared" si="25"/>
        <v>80113120.099999994</v>
      </c>
      <c r="P113" s="18">
        <f>22709880+12942000</f>
        <v>35651880</v>
      </c>
      <c r="Q113" s="18">
        <f>-12299080-12087120.07-7844979.81</f>
        <v>-32231179.879999999</v>
      </c>
      <c r="R113" s="18">
        <f t="shared" si="36"/>
        <v>83533820.219999999</v>
      </c>
      <c r="S113" s="113"/>
      <c r="T113" s="113"/>
      <c r="U113" s="113"/>
      <c r="V113" s="113"/>
      <c r="W113" s="113"/>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row>
    <row r="114" spans="1:44" s="117" customFormat="1" ht="17.25" customHeight="1" thickBot="1">
      <c r="B114" s="107"/>
      <c r="C114" s="107"/>
      <c r="D114" s="107"/>
      <c r="F114" s="114"/>
      <c r="G114" s="114"/>
      <c r="H114" s="114"/>
      <c r="I114" s="114"/>
      <c r="J114" s="114"/>
      <c r="K114" s="114"/>
      <c r="L114" s="114"/>
      <c r="M114" s="114"/>
      <c r="N114" s="114"/>
      <c r="O114" s="113">
        <f t="shared" si="25"/>
        <v>0</v>
      </c>
      <c r="P114" s="98"/>
      <c r="Q114" s="98"/>
      <c r="R114" s="98"/>
      <c r="S114" s="113"/>
      <c r="T114" s="113"/>
      <c r="U114" s="113"/>
      <c r="V114" s="113"/>
      <c r="W114" s="113"/>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row>
    <row r="115" spans="1:44" s="117" customFormat="1" ht="17.25" customHeight="1" thickTop="1" thickBot="1">
      <c r="B115" s="25" t="s">
        <v>1459</v>
      </c>
      <c r="C115" s="26"/>
      <c r="D115" s="24"/>
      <c r="E115" s="23" t="s">
        <v>1077</v>
      </c>
      <c r="F115" s="22">
        <f t="shared" ref="F115:K115" si="37">F112</f>
        <v>387498.98</v>
      </c>
      <c r="G115" s="22">
        <f t="shared" si="37"/>
        <v>122689389.23</v>
      </c>
      <c r="H115" s="22">
        <f t="shared" si="37"/>
        <v>-120852997.36</v>
      </c>
      <c r="I115" s="22">
        <f t="shared" si="37"/>
        <v>2223890.8500000089</v>
      </c>
      <c r="J115" s="22">
        <f t="shared" si="37"/>
        <v>2812620.19</v>
      </c>
      <c r="K115" s="22">
        <f t="shared" si="37"/>
        <v>-3738593.24</v>
      </c>
      <c r="L115" s="22">
        <f>SUM(L112:L114)</f>
        <v>91574499.900000006</v>
      </c>
      <c r="M115" s="22">
        <f>SUM(M112:M114)</f>
        <v>2566616.09</v>
      </c>
      <c r="N115" s="22">
        <f>SUM(N112:N114)</f>
        <v>-12726074.550000001</v>
      </c>
      <c r="O115" s="22">
        <f>SUM(O112:O114)</f>
        <v>81415041.439999998</v>
      </c>
      <c r="P115" s="22">
        <f t="shared" ref="P115:R115" si="38">SUM(P112:P114)</f>
        <v>38185403.350000001</v>
      </c>
      <c r="Q115" s="22">
        <f t="shared" si="38"/>
        <v>-34750385.240000002</v>
      </c>
      <c r="R115" s="22">
        <f t="shared" si="38"/>
        <v>84850059.550000012</v>
      </c>
      <c r="S115" s="113"/>
      <c r="T115" s="113"/>
      <c r="U115" s="113"/>
      <c r="V115" s="113"/>
      <c r="W115" s="113"/>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row>
    <row r="116" spans="1:44" s="117" customFormat="1" ht="17.25" customHeight="1" thickTop="1">
      <c r="B116" s="107"/>
      <c r="C116" s="107"/>
      <c r="D116" s="107"/>
      <c r="F116" s="115"/>
      <c r="G116" s="115"/>
      <c r="H116" s="115"/>
      <c r="I116" s="115"/>
      <c r="J116" s="115"/>
      <c r="K116" s="114"/>
      <c r="L116" s="114"/>
      <c r="M116" s="114"/>
      <c r="N116" s="114"/>
      <c r="O116" s="113">
        <f t="shared" si="25"/>
        <v>0</v>
      </c>
      <c r="P116" s="113"/>
      <c r="Q116" s="113"/>
      <c r="R116" s="113"/>
      <c r="S116" s="113"/>
      <c r="T116" s="113"/>
      <c r="U116" s="113"/>
      <c r="V116" s="113"/>
      <c r="W116" s="113"/>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row>
    <row r="117" spans="1:44" s="117" customFormat="1" ht="17.25" customHeight="1">
      <c r="A117" s="117">
        <v>5</v>
      </c>
      <c r="B117" s="16" t="s">
        <v>548</v>
      </c>
      <c r="C117" s="16" t="s">
        <v>548</v>
      </c>
      <c r="D117" s="16" t="s">
        <v>1078</v>
      </c>
      <c r="E117" s="17" t="s">
        <v>1079</v>
      </c>
      <c r="F117" s="18">
        <v>9081600.7400000002</v>
      </c>
      <c r="G117" s="18">
        <v>35236988.939999998</v>
      </c>
      <c r="H117" s="18">
        <v>-31655844.440000001</v>
      </c>
      <c r="I117" s="18">
        <f>SUM(F117:H117)</f>
        <v>12662745.239999998</v>
      </c>
      <c r="J117" s="18">
        <v>6652550.2300000004</v>
      </c>
      <c r="K117" s="18">
        <v>-6734737.3700000001</v>
      </c>
      <c r="L117" s="18">
        <f>+I117+J117+K117</f>
        <v>12580558.099999998</v>
      </c>
      <c r="M117" s="18">
        <v>66943364.25</v>
      </c>
      <c r="N117" s="18">
        <v>-66162359.18</v>
      </c>
      <c r="O117" s="18">
        <f t="shared" si="25"/>
        <v>13361563.169999994</v>
      </c>
      <c r="P117" s="18">
        <v>23765195.530000001</v>
      </c>
      <c r="Q117" s="18">
        <v>-20808676.760000002</v>
      </c>
      <c r="R117" s="18">
        <f t="shared" ref="R117:R119" si="39">SUM(O117:Q117)</f>
        <v>16318081.939999994</v>
      </c>
      <c r="S117" s="113"/>
      <c r="T117" s="113"/>
      <c r="U117" s="113"/>
      <c r="V117" s="113"/>
      <c r="W117" s="113"/>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row>
    <row r="118" spans="1:44" s="117" customFormat="1" ht="17.25" customHeight="1">
      <c r="A118" s="117">
        <v>5</v>
      </c>
      <c r="B118" s="16" t="s">
        <v>548</v>
      </c>
      <c r="C118" s="16" t="s">
        <v>548</v>
      </c>
      <c r="D118" s="16" t="s">
        <v>1080</v>
      </c>
      <c r="E118" s="17" t="s">
        <v>1081</v>
      </c>
      <c r="F118" s="18">
        <v>613620.87</v>
      </c>
      <c r="G118" s="18">
        <v>394633.67</v>
      </c>
      <c r="H118" s="18">
        <v>-496854.75</v>
      </c>
      <c r="I118" s="18">
        <f>SUM(F118:H118)</f>
        <v>511399.79000000004</v>
      </c>
      <c r="J118" s="18">
        <v>760566</v>
      </c>
      <c r="K118" s="18">
        <v>-720000</v>
      </c>
      <c r="L118" s="18">
        <f>+I118+J118+K118</f>
        <v>551965.79</v>
      </c>
      <c r="M118" s="18">
        <v>0</v>
      </c>
      <c r="N118" s="18">
        <v>-57454.33</v>
      </c>
      <c r="O118" s="18">
        <f t="shared" si="25"/>
        <v>494511.46</v>
      </c>
      <c r="P118" s="18"/>
      <c r="Q118" s="18">
        <v>-429571.46</v>
      </c>
      <c r="R118" s="18">
        <f t="shared" si="39"/>
        <v>64940</v>
      </c>
      <c r="S118" s="113"/>
      <c r="T118" s="113"/>
      <c r="U118" s="113"/>
      <c r="V118" s="113"/>
      <c r="W118" s="113"/>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row>
    <row r="119" spans="1:44" s="117" customFormat="1" ht="17.25" customHeight="1">
      <c r="A119" s="117">
        <v>5</v>
      </c>
      <c r="B119" s="16" t="s">
        <v>548</v>
      </c>
      <c r="C119" s="16" t="s">
        <v>548</v>
      </c>
      <c r="D119" s="16" t="s">
        <v>1082</v>
      </c>
      <c r="E119" s="17" t="s">
        <v>1083</v>
      </c>
      <c r="F119" s="18">
        <v>1757.51</v>
      </c>
      <c r="G119" s="18"/>
      <c r="H119" s="18"/>
      <c r="I119" s="18">
        <f>SUM(F119:H119)</f>
        <v>1757.51</v>
      </c>
      <c r="J119" s="18">
        <v>0</v>
      </c>
      <c r="K119" s="18">
        <v>0</v>
      </c>
      <c r="L119" s="18">
        <f>+I119+J119+K119</f>
        <v>1757.51</v>
      </c>
      <c r="M119" s="20"/>
      <c r="N119" s="20"/>
      <c r="O119" s="18">
        <f t="shared" si="25"/>
        <v>1757.51</v>
      </c>
      <c r="P119" s="18"/>
      <c r="Q119" s="18">
        <v>-1757.51</v>
      </c>
      <c r="R119" s="18">
        <f t="shared" si="39"/>
        <v>0</v>
      </c>
      <c r="S119" s="113"/>
      <c r="T119" s="113"/>
      <c r="U119" s="113"/>
      <c r="V119" s="113"/>
      <c r="W119" s="113"/>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row>
    <row r="120" spans="1:44" ht="17.25" customHeight="1" thickBot="1">
      <c r="B120" s="111"/>
      <c r="C120" s="111"/>
      <c r="D120" s="111"/>
      <c r="M120" s="113"/>
      <c r="N120" s="113"/>
      <c r="O120" s="113">
        <f t="shared" si="25"/>
        <v>0</v>
      </c>
    </row>
    <row r="121" spans="1:44" ht="17.25" customHeight="1" thickTop="1" thickBot="1">
      <c r="B121" s="25" t="s">
        <v>1460</v>
      </c>
      <c r="C121" s="120"/>
      <c r="D121" s="121"/>
      <c r="E121" s="23" t="s">
        <v>1085</v>
      </c>
      <c r="F121" s="22">
        <f t="shared" ref="F121:R121" si="40">SUM(F117:F120)</f>
        <v>9696979.1199999992</v>
      </c>
      <c r="G121" s="22">
        <f t="shared" si="40"/>
        <v>35631622.609999999</v>
      </c>
      <c r="H121" s="22">
        <f t="shared" si="40"/>
        <v>-32152699.190000001</v>
      </c>
      <c r="I121" s="22">
        <f t="shared" si="40"/>
        <v>13175902.539999997</v>
      </c>
      <c r="J121" s="22">
        <f t="shared" si="40"/>
        <v>7413116.2300000004</v>
      </c>
      <c r="K121" s="22">
        <f t="shared" si="40"/>
        <v>-7454737.3700000001</v>
      </c>
      <c r="L121" s="22">
        <f t="shared" si="40"/>
        <v>13134281.399999997</v>
      </c>
      <c r="M121" s="22">
        <f t="shared" si="40"/>
        <v>66943364.25</v>
      </c>
      <c r="N121" s="22">
        <f t="shared" si="40"/>
        <v>-66219813.509999998</v>
      </c>
      <c r="O121" s="22">
        <f t="shared" si="40"/>
        <v>13857832.139999995</v>
      </c>
      <c r="P121" s="22">
        <f t="shared" si="40"/>
        <v>23765195.530000001</v>
      </c>
      <c r="Q121" s="22">
        <f t="shared" si="40"/>
        <v>-21240005.730000004</v>
      </c>
      <c r="R121" s="22">
        <f t="shared" si="40"/>
        <v>16383021.939999994</v>
      </c>
    </row>
    <row r="122" spans="1:44" ht="17.25" customHeight="1" thickTop="1">
      <c r="B122" s="111"/>
      <c r="C122" s="111"/>
      <c r="D122" s="111"/>
      <c r="F122" s="29"/>
      <c r="G122" s="115"/>
      <c r="H122" s="115"/>
      <c r="I122" s="29"/>
      <c r="J122" s="29"/>
      <c r="N122" s="119"/>
    </row>
    <row r="123" spans="1:44" ht="17.25" customHeight="1">
      <c r="A123" s="21">
        <v>5</v>
      </c>
      <c r="B123" s="16" t="s">
        <v>548</v>
      </c>
      <c r="C123" s="16" t="s">
        <v>1086</v>
      </c>
      <c r="D123" s="16" t="s">
        <v>1087</v>
      </c>
      <c r="E123" s="17" t="s">
        <v>1300</v>
      </c>
      <c r="F123" s="18">
        <v>11545.68</v>
      </c>
      <c r="G123" s="18">
        <v>38788.07</v>
      </c>
      <c r="H123" s="18">
        <v>-37720.769999999997</v>
      </c>
      <c r="I123" s="18">
        <f t="shared" ref="I123:I129" si="41">SUM(F123:H123)</f>
        <v>12612.980000000003</v>
      </c>
      <c r="J123" s="18">
        <v>1005220.5</v>
      </c>
      <c r="K123" s="18">
        <v>-940200.6</v>
      </c>
      <c r="L123" s="18">
        <f t="shared" ref="L123:L130" si="42">+I123+J123+K123</f>
        <v>77632.88</v>
      </c>
      <c r="M123" s="18">
        <v>119612.26</v>
      </c>
      <c r="N123" s="18">
        <v>-118192.94</v>
      </c>
      <c r="O123" s="18">
        <f t="shared" ref="O123:O142" si="43">L123+M123+N123</f>
        <v>79052.200000000012</v>
      </c>
      <c r="P123" s="18">
        <v>112639.31</v>
      </c>
      <c r="Q123" s="18">
        <v>-161597.43</v>
      </c>
      <c r="R123" s="18">
        <f t="shared" ref="R123:R135" si="44">SUM(O123:Q123)</f>
        <v>30094.080000000016</v>
      </c>
    </row>
    <row r="124" spans="1:44" ht="17.25" customHeight="1">
      <c r="A124" s="21">
        <v>5</v>
      </c>
      <c r="B124" s="16" t="s">
        <v>548</v>
      </c>
      <c r="C124" s="16" t="s">
        <v>1086</v>
      </c>
      <c r="D124" s="16">
        <v>9422</v>
      </c>
      <c r="E124" s="17" t="s">
        <v>1088</v>
      </c>
      <c r="F124" s="18">
        <v>0</v>
      </c>
      <c r="G124" s="18">
        <v>2170.1</v>
      </c>
      <c r="H124" s="18">
        <v>-2170.1</v>
      </c>
      <c r="I124" s="18">
        <f t="shared" si="41"/>
        <v>0</v>
      </c>
      <c r="J124" s="18">
        <v>763.15</v>
      </c>
      <c r="K124" s="18">
        <v>-763.15</v>
      </c>
      <c r="L124" s="18">
        <f t="shared" si="42"/>
        <v>0</v>
      </c>
      <c r="M124" s="18">
        <v>1142.8499999999999</v>
      </c>
      <c r="N124" s="18"/>
      <c r="O124" s="18">
        <f t="shared" si="43"/>
        <v>1142.8499999999999</v>
      </c>
      <c r="P124" s="18"/>
      <c r="Q124" s="18"/>
      <c r="R124" s="18">
        <f t="shared" si="44"/>
        <v>1142.8499999999999</v>
      </c>
    </row>
    <row r="125" spans="1:44" ht="17.25" customHeight="1">
      <c r="B125" s="16">
        <v>940</v>
      </c>
      <c r="C125" s="16">
        <v>941</v>
      </c>
      <c r="D125" s="16">
        <v>9454</v>
      </c>
      <c r="E125" s="17" t="s">
        <v>1322</v>
      </c>
      <c r="F125" s="18"/>
      <c r="G125" s="18">
        <v>2313593.52</v>
      </c>
      <c r="H125" s="18"/>
      <c r="I125" s="18">
        <f t="shared" si="41"/>
        <v>2313593.52</v>
      </c>
      <c r="J125" s="18">
        <v>0</v>
      </c>
      <c r="K125" s="18">
        <v>-1604090.98</v>
      </c>
      <c r="L125" s="18">
        <f t="shared" si="42"/>
        <v>709502.54</v>
      </c>
      <c r="M125" s="18">
        <v>1624846.09</v>
      </c>
      <c r="N125" s="18">
        <v>-1249900.73</v>
      </c>
      <c r="O125" s="18">
        <f t="shared" si="43"/>
        <v>1084447.8999999999</v>
      </c>
      <c r="P125" s="18">
        <v>2187329.54</v>
      </c>
      <c r="Q125" s="18">
        <v>-1033243.75</v>
      </c>
      <c r="R125" s="18">
        <f t="shared" si="44"/>
        <v>2238533.69</v>
      </c>
      <c r="S125" s="21"/>
      <c r="T125" s="21"/>
      <c r="U125" s="21"/>
      <c r="V125" s="21"/>
      <c r="X125" s="21"/>
      <c r="Y125" s="21"/>
      <c r="Z125" s="21"/>
      <c r="AA125" s="21"/>
      <c r="AB125" s="21"/>
      <c r="AC125" s="21"/>
      <c r="AD125" s="21"/>
      <c r="AE125" s="21"/>
      <c r="AF125" s="21"/>
      <c r="AG125" s="21"/>
      <c r="AH125" s="21"/>
      <c r="AI125" s="21"/>
      <c r="AJ125" s="21"/>
      <c r="AK125" s="21"/>
      <c r="AL125" s="21"/>
      <c r="AM125" s="21"/>
      <c r="AN125" s="21"/>
      <c r="AO125" s="21"/>
      <c r="AP125" s="21"/>
      <c r="AQ125" s="21"/>
      <c r="AR125" s="21"/>
    </row>
    <row r="126" spans="1:44" ht="17.25" customHeight="1">
      <c r="A126" s="21">
        <v>5</v>
      </c>
      <c r="B126" s="16" t="s">
        <v>548</v>
      </c>
      <c r="C126" s="16" t="s">
        <v>1086</v>
      </c>
      <c r="D126" s="16" t="s">
        <v>1089</v>
      </c>
      <c r="E126" s="17" t="s">
        <v>1322</v>
      </c>
      <c r="F126" s="18">
        <v>3122632.29</v>
      </c>
      <c r="G126" s="18">
        <v>19592379.559999999</v>
      </c>
      <c r="H126" s="18">
        <v>-21184624.030000001</v>
      </c>
      <c r="I126" s="18">
        <f t="shared" si="41"/>
        <v>1530387.8199999966</v>
      </c>
      <c r="J126" s="18">
        <v>22683051.870000001</v>
      </c>
      <c r="K126" s="18">
        <v>-18959458.550000001</v>
      </c>
      <c r="L126" s="18">
        <f t="shared" si="42"/>
        <v>5253981.1399999969</v>
      </c>
      <c r="M126" s="18">
        <v>67182235.180000007</v>
      </c>
      <c r="N126" s="18">
        <v>-63230673.619999997</v>
      </c>
      <c r="O126" s="18">
        <f>L126+M126+N126-6641267</f>
        <v>2564275.7000000104</v>
      </c>
      <c r="P126" s="18">
        <f>27296504.86+6641267</f>
        <v>33937771.859999999</v>
      </c>
      <c r="Q126" s="18">
        <f>-33197305.09-260605.44</f>
        <v>-33457910.530000001</v>
      </c>
      <c r="R126" s="18">
        <f t="shared" si="44"/>
        <v>3044137.0300000086</v>
      </c>
      <c r="S126" s="21"/>
      <c r="T126" s="21"/>
      <c r="U126" s="21"/>
      <c r="V126" s="21"/>
      <c r="X126" s="21"/>
      <c r="Y126" s="21"/>
      <c r="Z126" s="21"/>
      <c r="AA126" s="21"/>
      <c r="AB126" s="21"/>
      <c r="AC126" s="21"/>
      <c r="AD126" s="21"/>
      <c r="AE126" s="21"/>
      <c r="AF126" s="21"/>
      <c r="AG126" s="21"/>
      <c r="AH126" s="21"/>
      <c r="AI126" s="21"/>
      <c r="AJ126" s="21"/>
      <c r="AK126" s="21"/>
      <c r="AL126" s="21"/>
      <c r="AM126" s="21"/>
      <c r="AN126" s="21"/>
      <c r="AO126" s="21"/>
      <c r="AP126" s="21"/>
      <c r="AQ126" s="21"/>
      <c r="AR126" s="21"/>
    </row>
    <row r="127" spans="1:44" ht="17.25" customHeight="1">
      <c r="A127" s="21">
        <v>5</v>
      </c>
      <c r="B127" s="16" t="s">
        <v>548</v>
      </c>
      <c r="C127" s="16" t="s">
        <v>1086</v>
      </c>
      <c r="D127" s="16" t="s">
        <v>1084</v>
      </c>
      <c r="E127" s="17" t="s">
        <v>1090</v>
      </c>
      <c r="F127" s="18">
        <v>112330.01</v>
      </c>
      <c r="G127" s="18"/>
      <c r="H127" s="18"/>
      <c r="I127" s="18">
        <f t="shared" si="41"/>
        <v>112330.01</v>
      </c>
      <c r="J127" s="18">
        <v>0</v>
      </c>
      <c r="K127" s="18">
        <v>0</v>
      </c>
      <c r="L127" s="18">
        <f t="shared" si="42"/>
        <v>112330.01</v>
      </c>
      <c r="M127" s="18"/>
      <c r="N127" s="18"/>
      <c r="O127" s="18">
        <f t="shared" si="43"/>
        <v>112330.01</v>
      </c>
      <c r="P127" s="18"/>
      <c r="Q127" s="18">
        <v>-112330.01</v>
      </c>
      <c r="R127" s="18">
        <f t="shared" si="44"/>
        <v>0</v>
      </c>
      <c r="S127" s="21"/>
      <c r="T127" s="21"/>
      <c r="U127" s="21"/>
      <c r="V127" s="21"/>
      <c r="X127" s="21"/>
      <c r="Y127" s="21"/>
      <c r="Z127" s="21"/>
      <c r="AA127" s="21"/>
      <c r="AB127" s="21"/>
      <c r="AC127" s="21"/>
      <c r="AD127" s="21"/>
      <c r="AE127" s="21"/>
      <c r="AF127" s="21"/>
      <c r="AG127" s="21"/>
      <c r="AH127" s="21"/>
      <c r="AI127" s="21"/>
      <c r="AJ127" s="21"/>
      <c r="AK127" s="21"/>
      <c r="AL127" s="21"/>
      <c r="AM127" s="21"/>
      <c r="AN127" s="21"/>
      <c r="AO127" s="21"/>
      <c r="AP127" s="21"/>
      <c r="AQ127" s="21"/>
      <c r="AR127" s="21"/>
    </row>
    <row r="128" spans="1:44" ht="17.25" customHeight="1">
      <c r="A128" s="21">
        <v>5</v>
      </c>
      <c r="B128" s="16" t="s">
        <v>548</v>
      </c>
      <c r="C128" s="16" t="s">
        <v>1086</v>
      </c>
      <c r="D128" s="16" t="s">
        <v>434</v>
      </c>
      <c r="E128" s="17" t="s">
        <v>445</v>
      </c>
      <c r="F128" s="18">
        <v>0</v>
      </c>
      <c r="G128" s="18">
        <v>22956.39</v>
      </c>
      <c r="H128" s="18"/>
      <c r="I128" s="18">
        <f t="shared" si="41"/>
        <v>22956.39</v>
      </c>
      <c r="J128" s="18">
        <v>0</v>
      </c>
      <c r="K128" s="18">
        <v>0</v>
      </c>
      <c r="L128" s="18">
        <f t="shared" si="42"/>
        <v>22956.39</v>
      </c>
      <c r="M128" s="18"/>
      <c r="N128" s="18"/>
      <c r="O128" s="18">
        <f t="shared" si="43"/>
        <v>22956.39</v>
      </c>
      <c r="P128" s="18"/>
      <c r="Q128" s="18">
        <v>-22956.39</v>
      </c>
      <c r="R128" s="18">
        <f t="shared" si="44"/>
        <v>0</v>
      </c>
      <c r="S128" s="21"/>
      <c r="T128" s="21"/>
      <c r="U128" s="21"/>
      <c r="V128" s="21"/>
      <c r="X128" s="21"/>
      <c r="Y128" s="21"/>
      <c r="Z128" s="21"/>
      <c r="AA128" s="21"/>
      <c r="AB128" s="21"/>
      <c r="AC128" s="21"/>
      <c r="AD128" s="21"/>
      <c r="AE128" s="21"/>
      <c r="AF128" s="21"/>
      <c r="AG128" s="21"/>
      <c r="AH128" s="21"/>
      <c r="AI128" s="21"/>
      <c r="AJ128" s="21"/>
      <c r="AK128" s="21"/>
      <c r="AL128" s="21"/>
      <c r="AM128" s="21"/>
      <c r="AN128" s="21"/>
      <c r="AO128" s="21"/>
      <c r="AP128" s="21"/>
      <c r="AQ128" s="21"/>
      <c r="AR128" s="21"/>
    </row>
    <row r="129" spans="1:44" ht="17.25" customHeight="1">
      <c r="A129" s="21">
        <v>5</v>
      </c>
      <c r="B129" s="16" t="s">
        <v>548</v>
      </c>
      <c r="C129" s="16" t="s">
        <v>1086</v>
      </c>
      <c r="D129" s="16" t="s">
        <v>435</v>
      </c>
      <c r="E129" s="17" t="s">
        <v>1449</v>
      </c>
      <c r="F129" s="18">
        <v>0</v>
      </c>
      <c r="G129" s="18">
        <v>834954.6</v>
      </c>
      <c r="H129" s="18"/>
      <c r="I129" s="18">
        <f t="shared" si="41"/>
        <v>834954.6</v>
      </c>
      <c r="J129" s="18">
        <v>2072541.19</v>
      </c>
      <c r="K129" s="18">
        <v>-1752012.37</v>
      </c>
      <c r="L129" s="18">
        <f t="shared" si="42"/>
        <v>1155483.42</v>
      </c>
      <c r="M129" s="18">
        <f>4086044.04+443082.39</f>
        <v>4529126.43</v>
      </c>
      <c r="N129" s="18">
        <v>-3722953.4</v>
      </c>
      <c r="O129" s="18">
        <f t="shared" si="43"/>
        <v>1961656.4499999997</v>
      </c>
      <c r="P129" s="18">
        <f>2235254.4+21176.37</f>
        <v>2256430.77</v>
      </c>
      <c r="Q129" s="18">
        <v>-2811219.59</v>
      </c>
      <c r="R129" s="18">
        <f t="shared" si="44"/>
        <v>1406867.63</v>
      </c>
      <c r="S129" s="21"/>
      <c r="T129" s="21"/>
      <c r="U129" s="21"/>
      <c r="V129" s="21"/>
      <c r="X129" s="21"/>
      <c r="Y129" s="21"/>
      <c r="Z129" s="21"/>
      <c r="AA129" s="21"/>
      <c r="AB129" s="21"/>
      <c r="AC129" s="21"/>
      <c r="AD129" s="21"/>
      <c r="AE129" s="21"/>
      <c r="AF129" s="21"/>
      <c r="AG129" s="21"/>
      <c r="AH129" s="21"/>
      <c r="AI129" s="21"/>
      <c r="AJ129" s="21"/>
      <c r="AK129" s="21"/>
      <c r="AL129" s="21"/>
      <c r="AM129" s="21"/>
      <c r="AN129" s="21"/>
      <c r="AO129" s="21"/>
      <c r="AP129" s="21"/>
      <c r="AQ129" s="21"/>
      <c r="AR129" s="21"/>
    </row>
    <row r="130" spans="1:44" ht="17.25" customHeight="1">
      <c r="B130" s="19">
        <v>940</v>
      </c>
      <c r="C130" s="19">
        <v>941</v>
      </c>
      <c r="D130" s="19">
        <v>9520</v>
      </c>
      <c r="E130" s="17" t="s">
        <v>1510</v>
      </c>
      <c r="F130" s="18"/>
      <c r="G130" s="18"/>
      <c r="H130" s="18"/>
      <c r="I130" s="18"/>
      <c r="J130" s="18">
        <v>6695</v>
      </c>
      <c r="K130" s="18"/>
      <c r="L130" s="18">
        <f t="shared" si="42"/>
        <v>6695</v>
      </c>
      <c r="M130" s="18"/>
      <c r="N130" s="18">
        <v>-2012.21</v>
      </c>
      <c r="O130" s="18">
        <f t="shared" si="43"/>
        <v>4682.79</v>
      </c>
      <c r="P130" s="18">
        <v>6798.32</v>
      </c>
      <c r="Q130" s="18">
        <v>-7491.61</v>
      </c>
      <c r="R130" s="18">
        <f t="shared" si="44"/>
        <v>3989.5000000000009</v>
      </c>
      <c r="S130" s="21"/>
      <c r="T130" s="21"/>
      <c r="U130" s="21"/>
      <c r="V130" s="21"/>
      <c r="X130" s="21"/>
      <c r="Y130" s="21"/>
      <c r="Z130" s="21"/>
      <c r="AA130" s="21"/>
      <c r="AB130" s="21"/>
      <c r="AC130" s="21"/>
      <c r="AD130" s="21"/>
      <c r="AE130" s="21"/>
      <c r="AF130" s="21"/>
      <c r="AG130" s="21"/>
      <c r="AH130" s="21"/>
      <c r="AI130" s="21"/>
      <c r="AJ130" s="21"/>
      <c r="AK130" s="21"/>
      <c r="AL130" s="21"/>
      <c r="AM130" s="21"/>
      <c r="AN130" s="21"/>
      <c r="AO130" s="21"/>
      <c r="AP130" s="21"/>
      <c r="AQ130" s="21"/>
      <c r="AR130" s="21"/>
    </row>
    <row r="131" spans="1:44" ht="17.25" customHeight="1">
      <c r="B131" s="16">
        <v>940</v>
      </c>
      <c r="C131" s="16">
        <v>941</v>
      </c>
      <c r="D131" s="16">
        <v>9521</v>
      </c>
      <c r="E131" s="17" t="s">
        <v>1725</v>
      </c>
      <c r="F131" s="18"/>
      <c r="G131" s="20"/>
      <c r="H131" s="20"/>
      <c r="I131" s="18"/>
      <c r="J131" s="18">
        <v>231262.92</v>
      </c>
      <c r="K131" s="18"/>
      <c r="L131" s="18">
        <v>231262.92</v>
      </c>
      <c r="M131" s="18">
        <f>658936.51-695616.6+560259.49</f>
        <v>523579.4</v>
      </c>
      <c r="N131" s="18"/>
      <c r="O131" s="18">
        <f t="shared" si="43"/>
        <v>754842.32000000007</v>
      </c>
      <c r="P131" s="18">
        <v>189099.32</v>
      </c>
      <c r="Q131" s="18"/>
      <c r="R131" s="18">
        <f t="shared" si="44"/>
        <v>943941.64000000013</v>
      </c>
      <c r="S131" s="21"/>
      <c r="T131" s="21"/>
      <c r="U131" s="21"/>
      <c r="V131" s="21"/>
      <c r="X131" s="21"/>
      <c r="Y131" s="21"/>
      <c r="Z131" s="21"/>
      <c r="AA131" s="21"/>
      <c r="AB131" s="21"/>
      <c r="AC131" s="21"/>
      <c r="AD131" s="21"/>
      <c r="AE131" s="21"/>
      <c r="AF131" s="21"/>
      <c r="AG131" s="21"/>
      <c r="AH131" s="21"/>
      <c r="AI131" s="21"/>
      <c r="AJ131" s="21"/>
      <c r="AK131" s="21"/>
      <c r="AL131" s="21"/>
      <c r="AM131" s="21"/>
      <c r="AN131" s="21"/>
      <c r="AO131" s="21"/>
      <c r="AP131" s="21"/>
      <c r="AQ131" s="21"/>
      <c r="AR131" s="21"/>
    </row>
    <row r="132" spans="1:44" ht="17.25" customHeight="1">
      <c r="B132" s="16">
        <v>940</v>
      </c>
      <c r="C132" s="16">
        <v>941</v>
      </c>
      <c r="D132" s="16">
        <v>9523</v>
      </c>
      <c r="E132" s="17" t="s">
        <v>1806</v>
      </c>
      <c r="F132" s="18"/>
      <c r="G132" s="20"/>
      <c r="H132" s="20"/>
      <c r="I132" s="18"/>
      <c r="J132" s="18"/>
      <c r="K132" s="18"/>
      <c r="L132" s="18"/>
      <c r="M132" s="18">
        <v>1529.46</v>
      </c>
      <c r="N132" s="18"/>
      <c r="O132" s="18">
        <f t="shared" si="43"/>
        <v>1529.46</v>
      </c>
      <c r="P132" s="18"/>
      <c r="Q132" s="18"/>
      <c r="R132" s="18">
        <f t="shared" si="44"/>
        <v>1529.46</v>
      </c>
      <c r="S132" s="21"/>
      <c r="T132" s="21"/>
      <c r="U132" s="21"/>
      <c r="V132" s="21"/>
      <c r="X132" s="21"/>
      <c r="Y132" s="21"/>
      <c r="Z132" s="21"/>
      <c r="AA132" s="21"/>
      <c r="AB132" s="21"/>
      <c r="AC132" s="21"/>
      <c r="AD132" s="21"/>
      <c r="AE132" s="21"/>
      <c r="AF132" s="21"/>
      <c r="AG132" s="21"/>
      <c r="AH132" s="21"/>
      <c r="AI132" s="21"/>
      <c r="AJ132" s="21"/>
      <c r="AK132" s="21"/>
      <c r="AL132" s="21"/>
      <c r="AM132" s="21"/>
      <c r="AN132" s="21"/>
      <c r="AO132" s="21"/>
      <c r="AP132" s="21"/>
      <c r="AQ132" s="21"/>
      <c r="AR132" s="21"/>
    </row>
    <row r="133" spans="1:44" ht="17.25" customHeight="1">
      <c r="B133" s="16">
        <v>940</v>
      </c>
      <c r="C133" s="16">
        <v>941</v>
      </c>
      <c r="D133" s="16">
        <v>9524</v>
      </c>
      <c r="E133" s="17" t="s">
        <v>1807</v>
      </c>
      <c r="F133" s="18"/>
      <c r="G133" s="20"/>
      <c r="H133" s="20"/>
      <c r="I133" s="18"/>
      <c r="J133" s="18"/>
      <c r="K133" s="18"/>
      <c r="L133" s="18"/>
      <c r="M133" s="18">
        <v>10635.52</v>
      </c>
      <c r="N133" s="18"/>
      <c r="O133" s="18">
        <f t="shared" si="43"/>
        <v>10635.52</v>
      </c>
      <c r="P133" s="18"/>
      <c r="Q133" s="18"/>
      <c r="R133" s="18">
        <f t="shared" si="44"/>
        <v>10635.52</v>
      </c>
      <c r="S133" s="21"/>
      <c r="T133" s="21"/>
      <c r="U133" s="21"/>
      <c r="V133" s="21"/>
      <c r="X133" s="21"/>
      <c r="Y133" s="21"/>
      <c r="Z133" s="21"/>
      <c r="AA133" s="21"/>
      <c r="AB133" s="21"/>
      <c r="AC133" s="21"/>
      <c r="AD133" s="21"/>
      <c r="AE133" s="21"/>
      <c r="AF133" s="21"/>
      <c r="AG133" s="21"/>
      <c r="AH133" s="21"/>
      <c r="AI133" s="21"/>
      <c r="AJ133" s="21"/>
      <c r="AK133" s="21"/>
      <c r="AL133" s="21"/>
      <c r="AM133" s="21"/>
      <c r="AN133" s="21"/>
      <c r="AO133" s="21"/>
      <c r="AP133" s="21"/>
      <c r="AQ133" s="21"/>
      <c r="AR133" s="21"/>
    </row>
    <row r="134" spans="1:44" ht="17.25" customHeight="1">
      <c r="B134" s="16">
        <v>940</v>
      </c>
      <c r="C134" s="16">
        <v>941</v>
      </c>
      <c r="D134" s="16">
        <v>9526</v>
      </c>
      <c r="E134" s="17" t="s">
        <v>2028</v>
      </c>
      <c r="F134" s="18"/>
      <c r="G134" s="20"/>
      <c r="H134" s="20"/>
      <c r="I134" s="18"/>
      <c r="J134" s="18"/>
      <c r="K134" s="18"/>
      <c r="L134" s="18"/>
      <c r="M134" s="18">
        <v>33074.370000000003</v>
      </c>
      <c r="N134" s="18"/>
      <c r="O134" s="18">
        <f t="shared" si="43"/>
        <v>33074.370000000003</v>
      </c>
      <c r="P134" s="18"/>
      <c r="Q134" s="18"/>
      <c r="R134" s="18">
        <f t="shared" si="44"/>
        <v>33074.370000000003</v>
      </c>
      <c r="S134" s="21"/>
      <c r="T134" s="21"/>
      <c r="U134" s="21"/>
      <c r="V134" s="21"/>
      <c r="X134" s="21"/>
      <c r="Y134" s="21"/>
      <c r="Z134" s="21"/>
      <c r="AA134" s="21"/>
      <c r="AB134" s="21"/>
      <c r="AC134" s="21"/>
      <c r="AD134" s="21"/>
      <c r="AE134" s="21"/>
      <c r="AF134" s="21"/>
      <c r="AG134" s="21"/>
      <c r="AH134" s="21"/>
      <c r="AI134" s="21"/>
      <c r="AJ134" s="21"/>
      <c r="AK134" s="21"/>
      <c r="AL134" s="21"/>
      <c r="AM134" s="21"/>
      <c r="AN134" s="21"/>
      <c r="AO134" s="21"/>
      <c r="AP134" s="21"/>
      <c r="AQ134" s="21"/>
      <c r="AR134" s="21"/>
    </row>
    <row r="135" spans="1:44" ht="17.25" customHeight="1">
      <c r="B135" s="16">
        <v>940</v>
      </c>
      <c r="C135" s="16">
        <v>941</v>
      </c>
      <c r="D135" s="16">
        <v>9528</v>
      </c>
      <c r="E135" s="17" t="s">
        <v>2039</v>
      </c>
      <c r="F135" s="18"/>
      <c r="G135" s="20"/>
      <c r="H135" s="20"/>
      <c r="I135" s="18"/>
      <c r="J135" s="18"/>
      <c r="K135" s="18"/>
      <c r="L135" s="18"/>
      <c r="M135" s="18">
        <v>1946801.4</v>
      </c>
      <c r="N135" s="18">
        <v>0</v>
      </c>
      <c r="O135" s="18">
        <f t="shared" si="43"/>
        <v>1946801.4</v>
      </c>
      <c r="P135" s="18">
        <v>1066160.47</v>
      </c>
      <c r="Q135" s="18"/>
      <c r="R135" s="18">
        <f t="shared" si="44"/>
        <v>3012961.87</v>
      </c>
      <c r="S135" s="21"/>
      <c r="T135" s="21"/>
      <c r="U135" s="21"/>
      <c r="V135" s="21"/>
      <c r="X135" s="21"/>
      <c r="Y135" s="21"/>
      <c r="Z135" s="21"/>
      <c r="AA135" s="21"/>
      <c r="AB135" s="21"/>
      <c r="AC135" s="21"/>
      <c r="AD135" s="21"/>
      <c r="AE135" s="21"/>
      <c r="AF135" s="21"/>
      <c r="AG135" s="21"/>
      <c r="AH135" s="21"/>
      <c r="AI135" s="21"/>
      <c r="AJ135" s="21"/>
      <c r="AK135" s="21"/>
      <c r="AL135" s="21"/>
      <c r="AM135" s="21"/>
      <c r="AN135" s="21"/>
      <c r="AO135" s="21"/>
      <c r="AP135" s="21"/>
      <c r="AQ135" s="21"/>
      <c r="AR135" s="21"/>
    </row>
    <row r="136" spans="1:44" ht="17.25" customHeight="1" thickBot="1">
      <c r="B136" s="111"/>
      <c r="C136" s="111"/>
      <c r="D136" s="111"/>
      <c r="M136" s="113"/>
      <c r="N136" s="113"/>
      <c r="S136" s="21"/>
      <c r="T136" s="21"/>
      <c r="U136" s="21"/>
      <c r="V136" s="21"/>
      <c r="X136" s="21"/>
      <c r="Y136" s="21"/>
      <c r="Z136" s="21"/>
      <c r="AA136" s="21"/>
      <c r="AB136" s="21"/>
      <c r="AC136" s="21"/>
      <c r="AD136" s="21"/>
      <c r="AE136" s="21"/>
      <c r="AF136" s="21"/>
      <c r="AG136" s="21"/>
      <c r="AH136" s="21"/>
      <c r="AI136" s="21"/>
      <c r="AJ136" s="21"/>
      <c r="AK136" s="21"/>
      <c r="AL136" s="21"/>
      <c r="AM136" s="21"/>
      <c r="AN136" s="21"/>
      <c r="AO136" s="21"/>
      <c r="AP136" s="21"/>
      <c r="AQ136" s="21"/>
      <c r="AR136" s="21"/>
    </row>
    <row r="137" spans="1:44" ht="17.25" customHeight="1" thickTop="1" thickBot="1">
      <c r="B137" s="25" t="s">
        <v>558</v>
      </c>
      <c r="C137" s="26"/>
      <c r="D137" s="24"/>
      <c r="E137" s="23" t="s">
        <v>1463</v>
      </c>
      <c r="F137" s="22">
        <f>SUM(F123:F131)</f>
        <v>3246507.98</v>
      </c>
      <c r="G137" s="22">
        <f t="shared" ref="G137:L137" si="45">SUM(G123:G131)</f>
        <v>22804842.240000002</v>
      </c>
      <c r="H137" s="22">
        <f t="shared" si="45"/>
        <v>-21224514.900000002</v>
      </c>
      <c r="I137" s="22">
        <f t="shared" si="45"/>
        <v>4826835.3199999966</v>
      </c>
      <c r="J137" s="22">
        <f t="shared" si="45"/>
        <v>25999534.630000003</v>
      </c>
      <c r="K137" s="22">
        <f t="shared" si="45"/>
        <v>-23256525.650000002</v>
      </c>
      <c r="L137" s="22">
        <f t="shared" si="45"/>
        <v>7569844.2999999961</v>
      </c>
      <c r="M137" s="22">
        <f>SUM(M123:M136)</f>
        <v>75972582.960000008</v>
      </c>
      <c r="N137" s="22">
        <f>SUM(N123:N136)</f>
        <v>-68323732.899999991</v>
      </c>
      <c r="O137" s="22">
        <f>SUM(O123:O136)</f>
        <v>8577427.3600000106</v>
      </c>
      <c r="P137" s="22">
        <f t="shared" ref="P137:R137" si="46">SUM(P123:P136)</f>
        <v>39756229.590000004</v>
      </c>
      <c r="Q137" s="22">
        <f t="shared" si="46"/>
        <v>-37606749.310000002</v>
      </c>
      <c r="R137" s="22">
        <f t="shared" si="46"/>
        <v>10726907.640000008</v>
      </c>
      <c r="S137" s="21"/>
      <c r="T137" s="21"/>
      <c r="U137" s="21"/>
      <c r="V137" s="21"/>
      <c r="X137" s="21"/>
      <c r="Y137" s="21"/>
      <c r="Z137" s="21"/>
      <c r="AA137" s="21"/>
      <c r="AB137" s="21"/>
      <c r="AC137" s="21"/>
      <c r="AD137" s="21"/>
      <c r="AE137" s="21"/>
      <c r="AF137" s="21"/>
      <c r="AG137" s="21"/>
      <c r="AH137" s="21"/>
      <c r="AI137" s="21"/>
      <c r="AJ137" s="21"/>
      <c r="AK137" s="21"/>
      <c r="AL137" s="21"/>
      <c r="AM137" s="21"/>
      <c r="AN137" s="21"/>
      <c r="AO137" s="21"/>
      <c r="AP137" s="21"/>
      <c r="AQ137" s="21"/>
      <c r="AR137" s="21"/>
    </row>
    <row r="138" spans="1:44" ht="17.25" customHeight="1" thickTop="1">
      <c r="B138" s="111"/>
      <c r="C138" s="111"/>
      <c r="D138" s="111"/>
      <c r="M138" s="113"/>
      <c r="N138" s="113"/>
      <c r="O138" s="113">
        <f t="shared" si="43"/>
        <v>0</v>
      </c>
      <c r="S138" s="21"/>
      <c r="T138" s="21"/>
      <c r="U138" s="21"/>
      <c r="V138" s="21"/>
      <c r="X138" s="21"/>
      <c r="Y138" s="21"/>
      <c r="Z138" s="21"/>
      <c r="AA138" s="21"/>
      <c r="AB138" s="21"/>
      <c r="AC138" s="21"/>
      <c r="AD138" s="21"/>
      <c r="AE138" s="21"/>
      <c r="AF138" s="21"/>
      <c r="AG138" s="21"/>
      <c r="AH138" s="21"/>
      <c r="AI138" s="21"/>
      <c r="AJ138" s="21"/>
      <c r="AK138" s="21"/>
      <c r="AL138" s="21"/>
      <c r="AM138" s="21"/>
      <c r="AN138" s="21"/>
      <c r="AO138" s="21"/>
      <c r="AP138" s="21"/>
      <c r="AQ138" s="21"/>
      <c r="AR138" s="21"/>
    </row>
    <row r="139" spans="1:44" ht="17.25" customHeight="1">
      <c r="A139" s="21">
        <v>5</v>
      </c>
      <c r="B139" s="16" t="s">
        <v>549</v>
      </c>
      <c r="C139" s="16" t="s">
        <v>549</v>
      </c>
      <c r="D139" s="16" t="s">
        <v>436</v>
      </c>
      <c r="E139" s="17" t="s">
        <v>1323</v>
      </c>
      <c r="F139" s="18">
        <v>2243645.73</v>
      </c>
      <c r="G139" s="18">
        <v>66484583.990000002</v>
      </c>
      <c r="H139" s="18">
        <v>-64632382.719999999</v>
      </c>
      <c r="I139" s="18">
        <f>SUM(F139:H139)</f>
        <v>4095847</v>
      </c>
      <c r="J139" s="18">
        <v>17849144.100000001</v>
      </c>
      <c r="K139" s="18">
        <v>-20931715.780000001</v>
      </c>
      <c r="L139" s="18">
        <f>+I139+J139+K139</f>
        <v>1013275.3200000003</v>
      </c>
      <c r="M139" s="18">
        <v>10106957.65</v>
      </c>
      <c r="N139" s="18">
        <v>-10014258.800000001</v>
      </c>
      <c r="O139" s="18">
        <f t="shared" si="43"/>
        <v>1105974.17</v>
      </c>
      <c r="P139" s="18">
        <v>49752955.829999998</v>
      </c>
      <c r="Q139" s="18">
        <f>-44722978.38-28802.29</f>
        <v>-44751780.670000002</v>
      </c>
      <c r="R139" s="18">
        <f t="shared" ref="R139" si="47">SUM(O139:Q139)</f>
        <v>6107149.3299999982</v>
      </c>
      <c r="S139" s="21"/>
      <c r="T139" s="21"/>
      <c r="U139" s="21"/>
      <c r="V139" s="21"/>
      <c r="X139" s="21"/>
      <c r="Y139" s="21"/>
      <c r="Z139" s="21"/>
      <c r="AA139" s="21"/>
      <c r="AB139" s="21"/>
      <c r="AC139" s="21"/>
      <c r="AD139" s="21"/>
      <c r="AE139" s="21"/>
      <c r="AF139" s="21"/>
      <c r="AG139" s="21"/>
      <c r="AH139" s="21"/>
      <c r="AI139" s="21"/>
      <c r="AJ139" s="21"/>
      <c r="AK139" s="21"/>
      <c r="AL139" s="21"/>
      <c r="AM139" s="21"/>
      <c r="AN139" s="21"/>
      <c r="AO139" s="21"/>
      <c r="AP139" s="21"/>
      <c r="AQ139" s="21"/>
      <c r="AR139" s="21"/>
    </row>
    <row r="140" spans="1:44" ht="17.25" customHeight="1" thickBot="1">
      <c r="B140" s="111"/>
      <c r="C140" s="111"/>
      <c r="D140" s="111"/>
      <c r="M140" s="113"/>
      <c r="N140" s="113"/>
      <c r="O140" s="113">
        <f t="shared" si="43"/>
        <v>0</v>
      </c>
      <c r="S140" s="21"/>
      <c r="T140" s="21"/>
      <c r="U140" s="21"/>
      <c r="V140" s="21"/>
      <c r="X140" s="21"/>
      <c r="Y140" s="21"/>
      <c r="Z140" s="21"/>
      <c r="AA140" s="21"/>
      <c r="AB140" s="21"/>
      <c r="AC140" s="21"/>
      <c r="AD140" s="21"/>
      <c r="AE140" s="21"/>
      <c r="AF140" s="21"/>
      <c r="AG140" s="21"/>
      <c r="AH140" s="21"/>
      <c r="AI140" s="21"/>
      <c r="AJ140" s="21"/>
      <c r="AK140" s="21"/>
      <c r="AL140" s="21"/>
      <c r="AM140" s="21"/>
      <c r="AN140" s="21"/>
      <c r="AO140" s="21"/>
      <c r="AP140" s="21"/>
      <c r="AQ140" s="21"/>
      <c r="AR140" s="21"/>
    </row>
    <row r="141" spans="1:44" ht="17.25" customHeight="1" thickTop="1" thickBot="1">
      <c r="B141" s="25" t="s">
        <v>1460</v>
      </c>
      <c r="C141" s="26"/>
      <c r="D141" s="24"/>
      <c r="E141" s="23" t="s">
        <v>437</v>
      </c>
      <c r="F141" s="22">
        <f>SUM(F139)</f>
        <v>2243645.73</v>
      </c>
      <c r="G141" s="22">
        <f t="shared" ref="G141:R141" si="48">SUM(G139)</f>
        <v>66484583.990000002</v>
      </c>
      <c r="H141" s="22">
        <f t="shared" si="48"/>
        <v>-64632382.719999999</v>
      </c>
      <c r="I141" s="22">
        <f t="shared" si="48"/>
        <v>4095847</v>
      </c>
      <c r="J141" s="22">
        <f t="shared" si="48"/>
        <v>17849144.100000001</v>
      </c>
      <c r="K141" s="22">
        <f t="shared" si="48"/>
        <v>-20931715.780000001</v>
      </c>
      <c r="L141" s="22">
        <f t="shared" si="48"/>
        <v>1013275.3200000003</v>
      </c>
      <c r="M141" s="22">
        <f t="shared" si="48"/>
        <v>10106957.65</v>
      </c>
      <c r="N141" s="22">
        <f t="shared" si="48"/>
        <v>-10014258.800000001</v>
      </c>
      <c r="O141" s="22">
        <f t="shared" si="48"/>
        <v>1105974.17</v>
      </c>
      <c r="P141" s="22">
        <f t="shared" si="48"/>
        <v>49752955.829999998</v>
      </c>
      <c r="Q141" s="22">
        <f t="shared" si="48"/>
        <v>-44751780.670000002</v>
      </c>
      <c r="R141" s="22">
        <f t="shared" si="48"/>
        <v>6107149.3299999982</v>
      </c>
      <c r="S141" s="21"/>
      <c r="T141" s="21"/>
      <c r="U141" s="21"/>
      <c r="V141" s="21"/>
      <c r="X141" s="21"/>
      <c r="Y141" s="21"/>
      <c r="Z141" s="21"/>
      <c r="AA141" s="21"/>
      <c r="AB141" s="21"/>
      <c r="AC141" s="21"/>
      <c r="AD141" s="21"/>
      <c r="AE141" s="21"/>
      <c r="AF141" s="21"/>
      <c r="AG141" s="21"/>
      <c r="AH141" s="21"/>
      <c r="AI141" s="21"/>
      <c r="AJ141" s="21"/>
      <c r="AK141" s="21"/>
      <c r="AL141" s="21"/>
      <c r="AM141" s="21"/>
      <c r="AN141" s="21"/>
      <c r="AO141" s="21"/>
      <c r="AP141" s="21"/>
      <c r="AQ141" s="21"/>
      <c r="AR141" s="21"/>
    </row>
    <row r="142" spans="1:44" ht="17.25" customHeight="1" thickTop="1">
      <c r="B142" s="111"/>
      <c r="C142" s="111"/>
      <c r="D142" s="111"/>
      <c r="M142" s="113"/>
      <c r="N142" s="113"/>
      <c r="O142" s="113">
        <f t="shared" si="43"/>
        <v>0</v>
      </c>
      <c r="S142" s="21"/>
      <c r="T142" s="21"/>
      <c r="U142" s="21"/>
      <c r="V142" s="21"/>
      <c r="X142" s="21"/>
      <c r="Y142" s="21"/>
      <c r="Z142" s="21"/>
      <c r="AA142" s="21"/>
      <c r="AB142" s="21"/>
      <c r="AC142" s="21"/>
      <c r="AD142" s="21"/>
      <c r="AE142" s="21"/>
      <c r="AF142" s="21"/>
      <c r="AG142" s="21"/>
      <c r="AH142" s="21"/>
      <c r="AI142" s="21"/>
      <c r="AJ142" s="21"/>
      <c r="AK142" s="21"/>
      <c r="AL142" s="21"/>
      <c r="AM142" s="21"/>
      <c r="AN142" s="21"/>
      <c r="AO142" s="21"/>
      <c r="AP142" s="21"/>
      <c r="AQ142" s="21"/>
      <c r="AR142" s="21"/>
    </row>
    <row r="143" spans="1:44" ht="17.25" customHeight="1" thickBot="1">
      <c r="B143" s="111"/>
      <c r="C143" s="111"/>
      <c r="D143" s="111"/>
      <c r="M143" s="113"/>
      <c r="N143" s="113"/>
      <c r="S143" s="21"/>
      <c r="T143" s="21"/>
      <c r="U143" s="21"/>
      <c r="V143" s="21"/>
      <c r="X143" s="21"/>
      <c r="Y143" s="21"/>
      <c r="Z143" s="21"/>
      <c r="AA143" s="21"/>
      <c r="AB143" s="21"/>
      <c r="AC143" s="21"/>
      <c r="AD143" s="21"/>
      <c r="AE143" s="21"/>
      <c r="AF143" s="21"/>
      <c r="AG143" s="21"/>
      <c r="AH143" s="21"/>
      <c r="AI143" s="21"/>
      <c r="AJ143" s="21"/>
      <c r="AK143" s="21"/>
      <c r="AL143" s="21"/>
      <c r="AM143" s="21"/>
      <c r="AN143" s="21"/>
      <c r="AO143" s="21"/>
      <c r="AP143" s="21"/>
      <c r="AQ143" s="21"/>
      <c r="AR143" s="21"/>
    </row>
    <row r="144" spans="1:44" ht="17.25" customHeight="1" thickTop="1" thickBot="1">
      <c r="B144" s="25" t="s">
        <v>1460</v>
      </c>
      <c r="C144" s="26"/>
      <c r="D144" s="24"/>
      <c r="E144" s="23" t="s">
        <v>438</v>
      </c>
      <c r="F144" s="22" t="e">
        <f>SUM(F141+F137+F121+F115+F110+F105+F97+F53+F48+#REF!+F31+F27+F7)</f>
        <v>#REF!</v>
      </c>
      <c r="G144" s="22" t="e">
        <f>SUM(G141+G137+G121+G115+G110+G105+G97+G53+G48+#REF!+G31+G27+G7)</f>
        <v>#REF!</v>
      </c>
      <c r="H144" s="22" t="e">
        <f>SUM(H141+H137+H121+H115+H110+H105+H97+H53+H48+#REF!+H31+H27+H7)</f>
        <v>#REF!</v>
      </c>
      <c r="I144" s="22" t="e">
        <f>SUM(I141+I137+I121+I115+I110+I105+I97+I53+I48+#REF!+I31+I27+I7)</f>
        <v>#REF!</v>
      </c>
      <c r="J144" s="22" t="e">
        <f>SUM(J141+J137+J121+J115+J110+J105+J97+J53+J48+#REF!+J31+J27+J7)</f>
        <v>#REF!</v>
      </c>
      <c r="K144" s="22" t="e">
        <f>SUM(K141+K137+K121+K115+K110+K105+K97+K53+K48+#REF!+K31+K27+K7)</f>
        <v>#REF!</v>
      </c>
      <c r="L144" s="22" t="e">
        <f>SUM(L141+L137+L121+L115+L110+L105+L97+L53+L48+#REF!+L31+L27+L7)</f>
        <v>#REF!</v>
      </c>
      <c r="M144" s="22" t="e">
        <f>SUM(M141+M137+M121+M115+M110+M105+M97+M53+M48+#REF!+M31+M27+M7)</f>
        <v>#REF!</v>
      </c>
      <c r="N144" s="22" t="e">
        <f>SUM(N141+N137+N121+N115+N110+N105+N97+N53+N48+#REF!+N31+N27+N7)</f>
        <v>#REF!</v>
      </c>
      <c r="O144" s="22">
        <f>SUM(O141+O137+O121+O115+O110+O105+O97+O53+O48+O31+O27+O7)</f>
        <v>-179508.20999997811</v>
      </c>
      <c r="P144" s="22">
        <f t="shared" ref="P144:R144" si="49">SUM(P141+P137+P121+P115+P110+P105+P97+P53+P48+P31+P27+P7)</f>
        <v>518922272.6500001</v>
      </c>
      <c r="Q144" s="22">
        <f t="shared" si="49"/>
        <v>-518742764.30999994</v>
      </c>
      <c r="R144" s="22">
        <f t="shared" si="49"/>
        <v>0.12999996587313944</v>
      </c>
      <c r="S144" s="21"/>
      <c r="T144" s="21">
        <f>-129499300.16</f>
        <v>-129499300.16</v>
      </c>
      <c r="U144" s="21"/>
      <c r="V144" s="21"/>
      <c r="X144" s="21"/>
      <c r="Y144" s="21"/>
      <c r="Z144" s="21"/>
      <c r="AA144" s="21"/>
      <c r="AB144" s="21"/>
      <c r="AC144" s="21"/>
      <c r="AD144" s="21"/>
      <c r="AE144" s="21"/>
      <c r="AF144" s="21"/>
      <c r="AG144" s="21"/>
      <c r="AH144" s="21"/>
      <c r="AI144" s="21"/>
      <c r="AJ144" s="21"/>
      <c r="AK144" s="21"/>
      <c r="AL144" s="21"/>
      <c r="AM144" s="21"/>
      <c r="AN144" s="21"/>
      <c r="AO144" s="21"/>
      <c r="AP144" s="21"/>
      <c r="AQ144" s="21"/>
      <c r="AR144" s="21"/>
    </row>
    <row r="145" spans="6:44" ht="16.5" thickTop="1">
      <c r="F145" s="29"/>
      <c r="G145" s="115"/>
      <c r="H145" s="115" t="e">
        <f>SUM(G144:H144)</f>
        <v>#REF!</v>
      </c>
      <c r="J145" s="29"/>
      <c r="O145" s="21"/>
      <c r="S145" s="21"/>
      <c r="T145" s="21">
        <v>-8346428.3899999997</v>
      </c>
      <c r="U145" s="21"/>
      <c r="V145" s="21"/>
      <c r="X145" s="21"/>
      <c r="Y145" s="21"/>
      <c r="Z145" s="21"/>
      <c r="AA145" s="21"/>
      <c r="AB145" s="21"/>
      <c r="AC145" s="21"/>
      <c r="AD145" s="21"/>
      <c r="AE145" s="21"/>
      <c r="AF145" s="21"/>
      <c r="AG145" s="21"/>
      <c r="AH145" s="21"/>
      <c r="AI145" s="21"/>
      <c r="AJ145" s="21"/>
      <c r="AK145" s="21"/>
      <c r="AL145" s="21"/>
      <c r="AM145" s="21"/>
      <c r="AN145" s="21"/>
      <c r="AO145" s="21"/>
      <c r="AP145" s="21"/>
      <c r="AQ145" s="21"/>
      <c r="AR145" s="21"/>
    </row>
    <row r="146" spans="6:44">
      <c r="K146" s="113" t="s">
        <v>36</v>
      </c>
      <c r="O146" s="21"/>
      <c r="S146" s="21"/>
      <c r="T146" s="21">
        <v>-75273619.049999997</v>
      </c>
      <c r="U146" s="21"/>
      <c r="V146" s="21"/>
      <c r="X146" s="21"/>
      <c r="Y146" s="21"/>
      <c r="Z146" s="21"/>
      <c r="AA146" s="21"/>
      <c r="AB146" s="21"/>
      <c r="AC146" s="21"/>
      <c r="AD146" s="21"/>
      <c r="AE146" s="21"/>
      <c r="AF146" s="21"/>
      <c r="AG146" s="21"/>
      <c r="AH146" s="21"/>
      <c r="AI146" s="21"/>
      <c r="AJ146" s="21"/>
      <c r="AK146" s="21"/>
      <c r="AL146" s="21"/>
      <c r="AM146" s="21"/>
      <c r="AN146" s="21"/>
      <c r="AO146" s="21"/>
      <c r="AP146" s="21"/>
      <c r="AQ146" s="21"/>
      <c r="AR146" s="21"/>
    </row>
    <row r="147" spans="6:44">
      <c r="T147" s="113">
        <v>-15185204.390000001</v>
      </c>
    </row>
    <row r="148" spans="6:44">
      <c r="T148" s="113">
        <v>-3263661.09</v>
      </c>
    </row>
    <row r="149" spans="6:44">
      <c r="T149" s="113">
        <v>-40120374.130000003</v>
      </c>
    </row>
    <row r="150" spans="6:44">
      <c r="T150" s="113">
        <v>-30834863.059999999</v>
      </c>
    </row>
    <row r="151" spans="6:44">
      <c r="T151" s="113">
        <v>174889579.59</v>
      </c>
    </row>
    <row r="152" spans="6:44">
      <c r="T152" s="113">
        <v>4382561.4800000004</v>
      </c>
    </row>
    <row r="153" spans="6:44">
      <c r="T153" s="113">
        <v>93409134.75</v>
      </c>
    </row>
    <row r="154" spans="6:44">
      <c r="T154" s="113">
        <v>16383021.939999999</v>
      </c>
    </row>
    <row r="155" spans="6:44">
      <c r="T155" s="113">
        <v>8731581.4299999997</v>
      </c>
    </row>
    <row r="156" spans="6:44">
      <c r="T156" s="113">
        <v>6135951.6200000001</v>
      </c>
    </row>
    <row r="157" spans="6:44">
      <c r="T157" s="113">
        <f>SUM(T144:T156)</f>
        <v>1408380.5400000261</v>
      </c>
    </row>
  </sheetData>
  <mergeCells count="2">
    <mergeCell ref="B3:D3"/>
    <mergeCell ref="B1:R1"/>
  </mergeCells>
  <phoneticPr fontId="13" type="noConversion"/>
  <pageMargins left="0.70866141732283472" right="0.70866141732283472" top="0.74803149606299213" bottom="0.74803149606299213" header="0.31496062992125984" footer="0.31496062992125984"/>
  <pageSetup paperSize="9" scale="75" fitToHeight="10" orientation="landscape" r:id="rId1"/>
</worksheet>
</file>

<file path=xl/worksheets/sheet36.xml><?xml version="1.0" encoding="utf-8"?>
<worksheet xmlns="http://schemas.openxmlformats.org/spreadsheetml/2006/main" xmlns:r="http://schemas.openxmlformats.org/officeDocument/2006/relationships">
  <sheetPr filterMode="1">
    <pageSetUpPr fitToPage="1"/>
  </sheetPr>
  <dimension ref="A1:G560"/>
  <sheetViews>
    <sheetView view="pageBreakPreview" zoomScaleSheetLayoutView="100" workbookViewId="0">
      <pane xSplit="4" ySplit="1" topLeftCell="E27" activePane="bottomRight" state="frozen"/>
      <selection activeCell="D137" sqref="D137"/>
      <selection pane="topRight" activeCell="D137" sqref="D137"/>
      <selection pane="bottomLeft" activeCell="D137" sqref="D137"/>
      <selection pane="bottomRight" activeCell="F259" sqref="F259"/>
    </sheetView>
  </sheetViews>
  <sheetFormatPr defaultColWidth="19" defaultRowHeight="12.75"/>
  <cols>
    <col min="1" max="2" width="15.7109375" style="454" customWidth="1"/>
    <col min="3" max="3" width="16.5703125" style="454" customWidth="1"/>
    <col min="4" max="4" width="19" style="454" customWidth="1"/>
    <col min="5" max="16384" width="19" style="454"/>
  </cols>
  <sheetData>
    <row r="1" spans="1:6">
      <c r="A1" s="454" t="s">
        <v>28</v>
      </c>
      <c r="B1" s="454" t="s">
        <v>964</v>
      </c>
      <c r="C1" s="454" t="s">
        <v>1101</v>
      </c>
      <c r="D1" s="454" t="s">
        <v>965</v>
      </c>
      <c r="E1" s="212" t="s">
        <v>1797</v>
      </c>
      <c r="F1" s="212" t="s">
        <v>2094</v>
      </c>
    </row>
    <row r="2" spans="1:6" hidden="1">
      <c r="A2" s="454" t="s">
        <v>367</v>
      </c>
      <c r="B2" s="454" t="s">
        <v>16</v>
      </c>
      <c r="C2" s="454" t="s">
        <v>368</v>
      </c>
      <c r="D2" s="454" t="s">
        <v>966</v>
      </c>
      <c r="E2" s="454">
        <v>-4533786.2</v>
      </c>
      <c r="F2" s="454">
        <v>-4360612.95</v>
      </c>
    </row>
    <row r="3" spans="1:6" hidden="1">
      <c r="A3" s="454" t="s">
        <v>369</v>
      </c>
      <c r="B3" s="454" t="s">
        <v>16</v>
      </c>
      <c r="C3" s="454" t="s">
        <v>370</v>
      </c>
      <c r="D3" s="454" t="s">
        <v>966</v>
      </c>
      <c r="E3" s="454">
        <v>-388601.39</v>
      </c>
      <c r="F3" s="454">
        <v>-392052.78</v>
      </c>
    </row>
    <row r="4" spans="1:6" hidden="1">
      <c r="A4" s="454" t="s">
        <v>371</v>
      </c>
      <c r="B4" s="454" t="s">
        <v>16</v>
      </c>
      <c r="C4" s="454" t="s">
        <v>372</v>
      </c>
      <c r="D4" s="454" t="s">
        <v>966</v>
      </c>
      <c r="E4" s="454">
        <v>-1783100.34</v>
      </c>
      <c r="F4" s="454">
        <v>-4756036.5599999996</v>
      </c>
    </row>
    <row r="5" spans="1:6" hidden="1">
      <c r="A5" s="454" t="s">
        <v>373</v>
      </c>
      <c r="B5" s="454" t="s">
        <v>16</v>
      </c>
      <c r="C5" s="454" t="s">
        <v>374</v>
      </c>
      <c r="D5" s="454" t="s">
        <v>966</v>
      </c>
      <c r="E5" s="454">
        <v>-2752108.07</v>
      </c>
      <c r="F5" s="454">
        <v>-944006.14</v>
      </c>
    </row>
    <row r="6" spans="1:6" hidden="1">
      <c r="A6" s="454" t="s">
        <v>377</v>
      </c>
      <c r="C6" s="454" t="s">
        <v>378</v>
      </c>
      <c r="D6" s="454" t="s">
        <v>966</v>
      </c>
      <c r="E6" s="454">
        <v>-13191.93</v>
      </c>
    </row>
    <row r="7" spans="1:6" hidden="1">
      <c r="A7" s="454" t="s">
        <v>379</v>
      </c>
      <c r="B7" s="454" t="s">
        <v>17</v>
      </c>
      <c r="C7" s="454" t="s">
        <v>380</v>
      </c>
      <c r="D7" s="454" t="s">
        <v>966</v>
      </c>
      <c r="E7" s="454">
        <v>-18127.2</v>
      </c>
    </row>
    <row r="8" spans="1:6" hidden="1">
      <c r="A8" s="454" t="s">
        <v>1470</v>
      </c>
      <c r="C8" s="454" t="s">
        <v>382</v>
      </c>
      <c r="D8" s="454" t="s">
        <v>966</v>
      </c>
      <c r="E8" s="454">
        <v>-2399.2199999999998</v>
      </c>
    </row>
    <row r="9" spans="1:6" hidden="1">
      <c r="A9" s="454" t="s">
        <v>2405</v>
      </c>
      <c r="B9" s="454" t="s">
        <v>2508</v>
      </c>
      <c r="C9" s="454" t="s">
        <v>2406</v>
      </c>
      <c r="D9" s="454" t="s">
        <v>966</v>
      </c>
      <c r="F9" s="454">
        <v>-295064.28000000003</v>
      </c>
    </row>
    <row r="10" spans="1:6" hidden="1">
      <c r="A10" s="454" t="s">
        <v>2407</v>
      </c>
      <c r="B10" s="454" t="s">
        <v>2508</v>
      </c>
      <c r="C10" s="454" t="s">
        <v>2408</v>
      </c>
      <c r="D10" s="454" t="s">
        <v>966</v>
      </c>
      <c r="F10" s="454">
        <v>-22771.759999999998</v>
      </c>
    </row>
    <row r="11" spans="1:6" hidden="1">
      <c r="A11" s="454" t="s">
        <v>2409</v>
      </c>
      <c r="B11" s="454" t="s">
        <v>2508</v>
      </c>
      <c r="C11" s="454" t="s">
        <v>2410</v>
      </c>
      <c r="D11" s="454" t="s">
        <v>966</v>
      </c>
      <c r="F11" s="454">
        <v>-3504.76</v>
      </c>
    </row>
    <row r="12" spans="1:6" hidden="1">
      <c r="A12" s="454" t="s">
        <v>1771</v>
      </c>
      <c r="B12" s="454" t="s">
        <v>1772</v>
      </c>
      <c r="C12" s="454" t="s">
        <v>381</v>
      </c>
      <c r="D12" s="454" t="s">
        <v>966</v>
      </c>
      <c r="E12" s="454">
        <v>-350000</v>
      </c>
    </row>
    <row r="13" spans="1:6" hidden="1"/>
    <row r="14" spans="1:6" ht="14.25" hidden="1" thickTop="1" thickBot="1">
      <c r="A14" s="850" t="s">
        <v>1464</v>
      </c>
      <c r="B14" s="455"/>
      <c r="C14" s="455"/>
      <c r="D14" s="851"/>
      <c r="E14" s="852">
        <f>SUM(E2:E12)</f>
        <v>-9841314.3499999996</v>
      </c>
      <c r="F14" s="852">
        <f>SUM(F2:F12)</f>
        <v>-10774049.229999999</v>
      </c>
    </row>
    <row r="15" spans="1:6" hidden="1">
      <c r="E15" s="853"/>
    </row>
    <row r="16" spans="1:6" hidden="1">
      <c r="A16" s="454" t="s">
        <v>1773</v>
      </c>
      <c r="B16" s="454" t="s">
        <v>958</v>
      </c>
      <c r="C16" s="454" t="s">
        <v>2506</v>
      </c>
      <c r="D16" s="454" t="s">
        <v>966</v>
      </c>
      <c r="E16" s="454">
        <v>1981.6</v>
      </c>
    </row>
    <row r="17" spans="1:6" hidden="1">
      <c r="A17" s="913" t="s">
        <v>2385</v>
      </c>
      <c r="B17" s="454" t="s">
        <v>958</v>
      </c>
      <c r="C17" s="913" t="s">
        <v>2507</v>
      </c>
      <c r="D17" s="454" t="s">
        <v>966</v>
      </c>
      <c r="E17" s="913"/>
      <c r="F17" s="454">
        <v>54147.71</v>
      </c>
    </row>
    <row r="18" spans="1:6" hidden="1">
      <c r="A18" s="454" t="s">
        <v>383</v>
      </c>
      <c r="B18" s="454" t="s">
        <v>958</v>
      </c>
      <c r="C18" s="454" t="s">
        <v>1302</v>
      </c>
      <c r="D18" s="454" t="s">
        <v>966</v>
      </c>
      <c r="E18" s="454">
        <v>3480</v>
      </c>
      <c r="F18" s="454">
        <v>2880</v>
      </c>
    </row>
    <row r="19" spans="1:6" hidden="1">
      <c r="A19" s="454" t="s">
        <v>1774</v>
      </c>
      <c r="B19" s="454" t="s">
        <v>958</v>
      </c>
      <c r="C19" s="454" t="s">
        <v>385</v>
      </c>
      <c r="D19" s="454" t="s">
        <v>966</v>
      </c>
      <c r="E19" s="454">
        <v>79415.22</v>
      </c>
      <c r="F19" s="454">
        <v>89738.1</v>
      </c>
    </row>
    <row r="20" spans="1:6" hidden="1">
      <c r="A20" s="454" t="s">
        <v>384</v>
      </c>
      <c r="B20" s="454" t="s">
        <v>959</v>
      </c>
      <c r="C20" s="454" t="s">
        <v>385</v>
      </c>
      <c r="D20" s="454" t="s">
        <v>966</v>
      </c>
      <c r="E20" s="454">
        <v>3180.92</v>
      </c>
      <c r="F20" s="454">
        <v>3799.84</v>
      </c>
    </row>
    <row r="21" spans="1:6" hidden="1">
      <c r="A21" s="454" t="s">
        <v>387</v>
      </c>
      <c r="B21" s="454" t="s">
        <v>959</v>
      </c>
      <c r="C21" s="454" t="s">
        <v>388</v>
      </c>
      <c r="D21" s="454" t="s">
        <v>966</v>
      </c>
      <c r="E21" s="454">
        <v>572108.04</v>
      </c>
      <c r="F21" s="454">
        <v>589555.62</v>
      </c>
    </row>
    <row r="22" spans="1:6" hidden="1">
      <c r="A22" s="454" t="s">
        <v>1471</v>
      </c>
      <c r="B22" s="454" t="s">
        <v>959</v>
      </c>
      <c r="C22" s="454" t="s">
        <v>388</v>
      </c>
      <c r="D22" s="454" t="s">
        <v>966</v>
      </c>
      <c r="E22" s="454">
        <v>433355.02</v>
      </c>
      <c r="F22" s="454">
        <v>447550.93</v>
      </c>
    </row>
    <row r="23" spans="1:6" hidden="1">
      <c r="A23" s="454" t="s">
        <v>390</v>
      </c>
      <c r="B23" s="454" t="s">
        <v>959</v>
      </c>
      <c r="C23" s="454" t="s">
        <v>388</v>
      </c>
      <c r="D23" s="454" t="s">
        <v>966</v>
      </c>
      <c r="E23" s="454">
        <v>1123880.32</v>
      </c>
      <c r="F23" s="454">
        <v>1172282.8500000001</v>
      </c>
    </row>
    <row r="24" spans="1:6" hidden="1">
      <c r="A24" s="454" t="s">
        <v>391</v>
      </c>
      <c r="B24" s="454" t="s">
        <v>959</v>
      </c>
      <c r="C24" s="454" t="s">
        <v>366</v>
      </c>
      <c r="D24" s="454" t="s">
        <v>966</v>
      </c>
      <c r="E24" s="454">
        <v>374625</v>
      </c>
      <c r="F24" s="454">
        <v>390763.33</v>
      </c>
    </row>
    <row r="25" spans="1:6" hidden="1">
      <c r="A25" s="454" t="s">
        <v>392</v>
      </c>
      <c r="B25" s="454" t="s">
        <v>959</v>
      </c>
      <c r="C25" s="454" t="s">
        <v>366</v>
      </c>
      <c r="D25" s="454" t="s">
        <v>966</v>
      </c>
      <c r="E25" s="454">
        <v>96012</v>
      </c>
      <c r="F25" s="454">
        <v>100118.17</v>
      </c>
    </row>
    <row r="26" spans="1:6" hidden="1">
      <c r="A26" s="454" t="s">
        <v>393</v>
      </c>
      <c r="B26" s="454" t="s">
        <v>959</v>
      </c>
      <c r="C26" s="454" t="s">
        <v>394</v>
      </c>
      <c r="D26" s="454" t="s">
        <v>966</v>
      </c>
      <c r="E26" s="454">
        <v>335464.15000000002</v>
      </c>
      <c r="F26" s="454">
        <v>271648.51</v>
      </c>
    </row>
    <row r="27" spans="1:6">
      <c r="A27" s="454" t="s">
        <v>395</v>
      </c>
      <c r="B27" s="454" t="s">
        <v>960</v>
      </c>
      <c r="C27" s="454" t="s">
        <v>396</v>
      </c>
      <c r="D27" s="454" t="s">
        <v>966</v>
      </c>
      <c r="E27" s="454">
        <v>1396797.48</v>
      </c>
      <c r="F27" s="454">
        <v>404800.04</v>
      </c>
    </row>
    <row r="28" spans="1:6" hidden="1">
      <c r="A28" s="454" t="s">
        <v>397</v>
      </c>
      <c r="B28" s="454" t="s">
        <v>961</v>
      </c>
      <c r="C28" s="454" t="s">
        <v>1312</v>
      </c>
      <c r="D28" s="454" t="s">
        <v>966</v>
      </c>
      <c r="E28" s="454">
        <v>47316.92</v>
      </c>
      <c r="F28" s="454">
        <v>44303.11</v>
      </c>
    </row>
    <row r="29" spans="1:6" hidden="1">
      <c r="A29" s="913" t="s">
        <v>2386</v>
      </c>
      <c r="B29" s="454" t="s">
        <v>961</v>
      </c>
      <c r="C29" s="913" t="s">
        <v>2505</v>
      </c>
      <c r="D29" s="454" t="s">
        <v>966</v>
      </c>
      <c r="E29" s="913"/>
      <c r="F29" s="454">
        <v>399229.51</v>
      </c>
    </row>
    <row r="30" spans="1:6" hidden="1">
      <c r="A30" s="454" t="s">
        <v>398</v>
      </c>
      <c r="B30" s="454" t="s">
        <v>961</v>
      </c>
      <c r="C30" s="454" t="s">
        <v>399</v>
      </c>
      <c r="D30" s="454" t="s">
        <v>966</v>
      </c>
      <c r="E30" s="454">
        <v>4844.84</v>
      </c>
      <c r="F30" s="454">
        <v>36534.129999999997</v>
      </c>
    </row>
    <row r="31" spans="1:6" hidden="1">
      <c r="A31" s="454" t="s">
        <v>1472</v>
      </c>
      <c r="B31" s="454" t="s">
        <v>961</v>
      </c>
      <c r="C31" s="454" t="s">
        <v>56</v>
      </c>
      <c r="D31" s="454" t="s">
        <v>966</v>
      </c>
      <c r="E31" s="454">
        <v>406129.45</v>
      </c>
    </row>
    <row r="32" spans="1:6" hidden="1">
      <c r="A32" s="454" t="s">
        <v>400</v>
      </c>
      <c r="B32" s="454" t="s">
        <v>1339</v>
      </c>
      <c r="C32" s="454" t="s">
        <v>1296</v>
      </c>
      <c r="D32" s="454" t="s">
        <v>966</v>
      </c>
      <c r="E32" s="454">
        <v>353708.75</v>
      </c>
      <c r="F32" s="454">
        <v>1246292.03</v>
      </c>
    </row>
    <row r="33" spans="1:6" hidden="1">
      <c r="A33" s="454" t="s">
        <v>402</v>
      </c>
      <c r="B33" s="454" t="s">
        <v>14</v>
      </c>
      <c r="C33" s="454" t="s">
        <v>403</v>
      </c>
      <c r="D33" s="454" t="s">
        <v>966</v>
      </c>
      <c r="E33" s="454">
        <v>2711937.93</v>
      </c>
      <c r="F33" s="454">
        <v>2290430.41</v>
      </c>
    </row>
    <row r="34" spans="1:6" hidden="1">
      <c r="A34" s="454" t="s">
        <v>404</v>
      </c>
      <c r="B34" s="454" t="s">
        <v>962</v>
      </c>
      <c r="C34" s="454" t="s">
        <v>405</v>
      </c>
      <c r="D34" s="454" t="s">
        <v>966</v>
      </c>
      <c r="E34" s="454">
        <v>38090.57</v>
      </c>
    </row>
    <row r="35" spans="1:6" hidden="1">
      <c r="A35" s="454" t="s">
        <v>406</v>
      </c>
      <c r="B35" s="454" t="s">
        <v>962</v>
      </c>
      <c r="C35" s="454" t="s">
        <v>407</v>
      </c>
      <c r="D35" s="454" t="s">
        <v>966</v>
      </c>
      <c r="E35" s="454">
        <v>412242.65</v>
      </c>
      <c r="F35" s="454">
        <v>183944</v>
      </c>
    </row>
    <row r="36" spans="1:6" hidden="1">
      <c r="A36" s="454" t="s">
        <v>409</v>
      </c>
      <c r="B36" s="454" t="s">
        <v>962</v>
      </c>
      <c r="C36" s="454" t="s">
        <v>410</v>
      </c>
      <c r="D36" s="454" t="s">
        <v>966</v>
      </c>
      <c r="E36" s="454">
        <v>94022.3</v>
      </c>
      <c r="F36" s="454">
        <v>15153</v>
      </c>
    </row>
    <row r="37" spans="1:6" hidden="1">
      <c r="A37" s="454" t="s">
        <v>411</v>
      </c>
      <c r="B37" s="454" t="s">
        <v>962</v>
      </c>
      <c r="C37" s="454" t="s">
        <v>412</v>
      </c>
      <c r="D37" s="454" t="s">
        <v>966</v>
      </c>
      <c r="E37" s="454">
        <v>61115.45</v>
      </c>
      <c r="F37" s="454">
        <v>43153.27</v>
      </c>
    </row>
    <row r="38" spans="1:6" hidden="1">
      <c r="A38" s="454" t="s">
        <v>1473</v>
      </c>
      <c r="B38" s="454" t="s">
        <v>962</v>
      </c>
      <c r="C38" s="454" t="s">
        <v>1480</v>
      </c>
      <c r="D38" s="454" t="s">
        <v>966</v>
      </c>
      <c r="E38" s="454">
        <v>304405.32</v>
      </c>
      <c r="F38" s="454">
        <v>209373.43</v>
      </c>
    </row>
    <row r="39" spans="1:6" hidden="1">
      <c r="A39" s="913" t="s">
        <v>413</v>
      </c>
      <c r="B39" s="454" t="s">
        <v>962</v>
      </c>
      <c r="C39" s="913" t="s">
        <v>2504</v>
      </c>
      <c r="D39" s="454" t="s">
        <v>966</v>
      </c>
      <c r="E39" s="913"/>
      <c r="F39" s="454">
        <v>30178.85</v>
      </c>
    </row>
    <row r="40" spans="1:6" hidden="1">
      <c r="A40" s="454" t="s">
        <v>415</v>
      </c>
      <c r="B40" s="454" t="s">
        <v>962</v>
      </c>
      <c r="C40" s="454" t="s">
        <v>416</v>
      </c>
      <c r="D40" s="454" t="s">
        <v>966</v>
      </c>
      <c r="E40" s="454">
        <v>34133.5</v>
      </c>
      <c r="F40" s="454">
        <v>1932.01</v>
      </c>
    </row>
    <row r="41" spans="1:6" hidden="1">
      <c r="A41" s="913" t="s">
        <v>2353</v>
      </c>
      <c r="B41" s="454" t="s">
        <v>962</v>
      </c>
      <c r="C41" s="913" t="s">
        <v>2503</v>
      </c>
      <c r="D41" s="454" t="s">
        <v>966</v>
      </c>
      <c r="E41" s="913"/>
      <c r="F41" s="454">
        <v>17490.7</v>
      </c>
    </row>
    <row r="42" spans="1:6" hidden="1">
      <c r="A42" s="913" t="s">
        <v>2384</v>
      </c>
      <c r="B42" s="454" t="s">
        <v>962</v>
      </c>
      <c r="C42" s="913" t="s">
        <v>2020</v>
      </c>
      <c r="D42" s="454" t="s">
        <v>966</v>
      </c>
      <c r="E42" s="913"/>
      <c r="F42" s="454">
        <v>219.3</v>
      </c>
    </row>
    <row r="43" spans="1:6" hidden="1">
      <c r="A43" s="454" t="s">
        <v>417</v>
      </c>
      <c r="B43" s="454" t="s">
        <v>962</v>
      </c>
      <c r="C43" s="454" t="s">
        <v>418</v>
      </c>
      <c r="D43" s="454" t="s">
        <v>966</v>
      </c>
      <c r="E43" s="454">
        <v>214416.86</v>
      </c>
      <c r="F43" s="454">
        <f>76989.67+74.4</f>
        <v>77064.069999999992</v>
      </c>
    </row>
    <row r="44" spans="1:6" hidden="1">
      <c r="A44" s="454" t="s">
        <v>419</v>
      </c>
      <c r="B44" s="454" t="s">
        <v>962</v>
      </c>
      <c r="C44" s="454" t="s">
        <v>420</v>
      </c>
      <c r="D44" s="454" t="s">
        <v>966</v>
      </c>
      <c r="E44" s="454">
        <v>242179.95</v>
      </c>
      <c r="F44" s="454">
        <v>145024.95000000001</v>
      </c>
    </row>
    <row r="45" spans="1:6" hidden="1">
      <c r="A45" s="454" t="s">
        <v>421</v>
      </c>
      <c r="B45" s="454" t="s">
        <v>962</v>
      </c>
      <c r="C45" s="454" t="s">
        <v>422</v>
      </c>
      <c r="D45" s="454" t="s">
        <v>966</v>
      </c>
      <c r="E45" s="454">
        <v>69385.95</v>
      </c>
      <c r="F45" s="454">
        <v>97078.84</v>
      </c>
    </row>
    <row r="46" spans="1:6" hidden="1">
      <c r="A46" s="454" t="s">
        <v>423</v>
      </c>
      <c r="B46" s="454" t="s">
        <v>962</v>
      </c>
      <c r="C46" s="454" t="s">
        <v>424</v>
      </c>
      <c r="D46" s="454" t="s">
        <v>966</v>
      </c>
      <c r="E46" s="454">
        <v>1144.5999999999999</v>
      </c>
      <c r="F46" s="454">
        <v>2648.4</v>
      </c>
    </row>
    <row r="47" spans="1:6" hidden="1">
      <c r="A47" s="913" t="s">
        <v>2387</v>
      </c>
      <c r="B47" s="454" t="s">
        <v>962</v>
      </c>
      <c r="C47" s="913" t="s">
        <v>2430</v>
      </c>
      <c r="D47" s="454" t="s">
        <v>966</v>
      </c>
      <c r="E47" s="913"/>
      <c r="F47" s="454">
        <v>310029.71000000002</v>
      </c>
    </row>
    <row r="48" spans="1:6" hidden="1">
      <c r="A48" s="454" t="s">
        <v>425</v>
      </c>
      <c r="B48" s="454" t="s">
        <v>962</v>
      </c>
      <c r="C48" s="454" t="s">
        <v>426</v>
      </c>
      <c r="D48" s="454" t="s">
        <v>966</v>
      </c>
      <c r="E48" s="454">
        <v>16706.169999999998</v>
      </c>
      <c r="F48" s="454">
        <v>13587.66</v>
      </c>
    </row>
    <row r="49" spans="1:7" hidden="1">
      <c r="A49" s="454" t="s">
        <v>427</v>
      </c>
      <c r="B49" s="454" t="s">
        <v>962</v>
      </c>
      <c r="C49" s="454" t="s">
        <v>428</v>
      </c>
      <c r="D49" s="454" t="s">
        <v>966</v>
      </c>
      <c r="E49" s="454">
        <v>262197.42</v>
      </c>
      <c r="F49" s="454">
        <v>434544.12</v>
      </c>
    </row>
    <row r="50" spans="1:7" hidden="1">
      <c r="A50" s="454" t="s">
        <v>429</v>
      </c>
      <c r="B50" s="454" t="s">
        <v>962</v>
      </c>
      <c r="C50" s="454" t="s">
        <v>430</v>
      </c>
      <c r="D50" s="454" t="s">
        <v>966</v>
      </c>
      <c r="E50" s="454">
        <v>3658.46</v>
      </c>
      <c r="F50" s="454">
        <v>10360.219999999999</v>
      </c>
    </row>
    <row r="51" spans="1:7" hidden="1">
      <c r="A51" s="454" t="s">
        <v>431</v>
      </c>
      <c r="B51" s="454" t="s">
        <v>962</v>
      </c>
      <c r="C51" s="454" t="s">
        <v>432</v>
      </c>
      <c r="D51" s="454" t="s">
        <v>966</v>
      </c>
      <c r="E51" s="454">
        <v>168279.2</v>
      </c>
      <c r="F51" s="454">
        <v>52834.94</v>
      </c>
    </row>
    <row r="52" spans="1:7" hidden="1">
      <c r="A52" s="454" t="s">
        <v>1474</v>
      </c>
      <c r="B52" s="454" t="s">
        <v>962</v>
      </c>
      <c r="C52" s="454" t="s">
        <v>2502</v>
      </c>
      <c r="D52" s="454" t="s">
        <v>966</v>
      </c>
      <c r="E52" s="454">
        <v>39000</v>
      </c>
      <c r="F52" s="454">
        <v>36060</v>
      </c>
    </row>
    <row r="53" spans="1:7" hidden="1">
      <c r="A53" s="454" t="s">
        <v>433</v>
      </c>
      <c r="B53" s="454" t="s">
        <v>962</v>
      </c>
      <c r="C53" s="454" t="s">
        <v>41</v>
      </c>
      <c r="D53" s="454" t="s">
        <v>966</v>
      </c>
      <c r="E53" s="454">
        <v>1315254.26</v>
      </c>
      <c r="F53" s="454">
        <v>913782.36</v>
      </c>
    </row>
    <row r="54" spans="1:7" hidden="1">
      <c r="A54" s="454" t="s">
        <v>42</v>
      </c>
      <c r="B54" s="454" t="s">
        <v>962</v>
      </c>
      <c r="C54" s="454" t="s">
        <v>43</v>
      </c>
      <c r="D54" s="454" t="s">
        <v>966</v>
      </c>
      <c r="E54" s="454">
        <v>567182.42000000004</v>
      </c>
      <c r="F54" s="454">
        <v>547641.36</v>
      </c>
    </row>
    <row r="55" spans="1:7" hidden="1">
      <c r="A55" s="454" t="s">
        <v>44</v>
      </c>
      <c r="B55" s="454" t="s">
        <v>962</v>
      </c>
      <c r="C55" s="454" t="s">
        <v>43</v>
      </c>
      <c r="D55" s="454" t="s">
        <v>966</v>
      </c>
      <c r="E55" s="454">
        <v>615256.63</v>
      </c>
      <c r="F55" s="454">
        <v>1386342.58</v>
      </c>
    </row>
    <row r="56" spans="1:7" hidden="1">
      <c r="A56" s="454" t="s">
        <v>45</v>
      </c>
      <c r="B56" s="454" t="s">
        <v>962</v>
      </c>
      <c r="C56" s="454" t="s">
        <v>46</v>
      </c>
      <c r="D56" s="454" t="s">
        <v>966</v>
      </c>
      <c r="E56" s="454">
        <v>37668.94</v>
      </c>
    </row>
    <row r="57" spans="1:7" hidden="1">
      <c r="A57" s="454" t="s">
        <v>47</v>
      </c>
      <c r="B57" s="454" t="s">
        <v>962</v>
      </c>
      <c r="C57" s="454" t="s">
        <v>48</v>
      </c>
      <c r="D57" s="454" t="s">
        <v>966</v>
      </c>
      <c r="E57" s="454">
        <v>97880.15</v>
      </c>
    </row>
    <row r="58" spans="1:7" hidden="1">
      <c r="A58" s="454" t="s">
        <v>49</v>
      </c>
      <c r="B58" s="454" t="s">
        <v>962</v>
      </c>
      <c r="C58" s="454" t="s">
        <v>50</v>
      </c>
      <c r="D58" s="454" t="s">
        <v>966</v>
      </c>
      <c r="E58" s="454">
        <v>597133.14</v>
      </c>
    </row>
    <row r="59" spans="1:7" hidden="1">
      <c r="A59" s="454" t="s">
        <v>1475</v>
      </c>
      <c r="B59" s="454" t="s">
        <v>962</v>
      </c>
      <c r="C59" s="454" t="s">
        <v>1512</v>
      </c>
      <c r="D59" s="454" t="s">
        <v>966</v>
      </c>
      <c r="E59" s="454">
        <v>28317.360000000001</v>
      </c>
      <c r="F59" s="454">
        <v>13703.24</v>
      </c>
    </row>
    <row r="60" spans="1:7" hidden="1">
      <c r="A60" s="454" t="s">
        <v>53</v>
      </c>
      <c r="B60" s="454" t="s">
        <v>962</v>
      </c>
      <c r="C60" s="454" t="s">
        <v>1298</v>
      </c>
      <c r="D60" s="454" t="s">
        <v>966</v>
      </c>
      <c r="E60" s="454">
        <v>261424.98</v>
      </c>
      <c r="F60" s="454">
        <v>338907.05</v>
      </c>
    </row>
    <row r="61" spans="1:7" hidden="1">
      <c r="A61" s="454" t="s">
        <v>54</v>
      </c>
      <c r="B61" s="454" t="s">
        <v>962</v>
      </c>
      <c r="C61" s="454" t="s">
        <v>386</v>
      </c>
      <c r="D61" s="454" t="s">
        <v>966</v>
      </c>
      <c r="E61" s="454">
        <v>43762.52</v>
      </c>
      <c r="F61" s="454">
        <v>17081</v>
      </c>
    </row>
    <row r="62" spans="1:7" hidden="1">
      <c r="A62" s="454" t="s">
        <v>55</v>
      </c>
      <c r="B62" s="454" t="s">
        <v>962</v>
      </c>
      <c r="C62" s="454" t="s">
        <v>56</v>
      </c>
      <c r="D62" s="454" t="s">
        <v>966</v>
      </c>
      <c r="E62" s="454">
        <v>3031060.58</v>
      </c>
      <c r="F62" s="454">
        <f>1871589.45-3892.91-8596.49+9272.56</f>
        <v>1868372.61</v>
      </c>
    </row>
    <row r="63" spans="1:7" hidden="1">
      <c r="E63" s="454">
        <v>5234591.3099999996</v>
      </c>
    </row>
    <row r="64" spans="1:7" ht="14.25" hidden="1" thickTop="1" thickBot="1">
      <c r="A64" s="850" t="s">
        <v>1464</v>
      </c>
      <c r="B64" s="455"/>
      <c r="C64" s="455"/>
      <c r="D64" s="851"/>
      <c r="E64" s="854">
        <f>SUM(E16:E63)</f>
        <v>21734748.329999998</v>
      </c>
      <c r="F64" s="854">
        <f>SUM(F16:F63)</f>
        <v>14310581.959999999</v>
      </c>
      <c r="G64" s="454">
        <f>F64+F14</f>
        <v>3536532.7300000004</v>
      </c>
    </row>
    <row r="65" spans="1:6" hidden="1"/>
    <row r="66" spans="1:6" hidden="1">
      <c r="A66" s="454" t="s">
        <v>58</v>
      </c>
      <c r="B66" s="454" t="s">
        <v>958</v>
      </c>
      <c r="C66" s="454" t="s">
        <v>59</v>
      </c>
      <c r="D66" s="454" t="s">
        <v>967</v>
      </c>
      <c r="E66" s="454">
        <v>1518807.62</v>
      </c>
      <c r="F66" s="454">
        <v>1698881.77</v>
      </c>
    </row>
    <row r="67" spans="1:6" hidden="1">
      <c r="A67" s="454" t="s">
        <v>60</v>
      </c>
      <c r="B67" s="454" t="s">
        <v>958</v>
      </c>
      <c r="C67" s="454" t="s">
        <v>61</v>
      </c>
      <c r="D67" s="454" t="s">
        <v>967</v>
      </c>
      <c r="E67" s="454">
        <v>138417.68</v>
      </c>
      <c r="F67" s="454">
        <v>171842.53</v>
      </c>
    </row>
    <row r="68" spans="1:6" hidden="1">
      <c r="A68" s="454" t="s">
        <v>62</v>
      </c>
      <c r="B68" s="454" t="s">
        <v>958</v>
      </c>
      <c r="C68" s="454" t="s">
        <v>51</v>
      </c>
      <c r="D68" s="454" t="s">
        <v>967</v>
      </c>
      <c r="E68" s="454">
        <v>141424.28</v>
      </c>
      <c r="F68" s="454">
        <v>149913.26999999999</v>
      </c>
    </row>
    <row r="69" spans="1:6" hidden="1">
      <c r="A69" s="454" t="s">
        <v>63</v>
      </c>
      <c r="B69" s="454" t="s">
        <v>958</v>
      </c>
      <c r="C69" s="454" t="s">
        <v>364</v>
      </c>
      <c r="D69" s="454" t="s">
        <v>967</v>
      </c>
      <c r="E69" s="454">
        <v>79066.19</v>
      </c>
    </row>
    <row r="70" spans="1:6" hidden="1">
      <c r="A70" s="454" t="s">
        <v>64</v>
      </c>
      <c r="B70" s="454" t="s">
        <v>958</v>
      </c>
      <c r="C70" s="454" t="s">
        <v>517</v>
      </c>
      <c r="D70" s="454" t="s">
        <v>967</v>
      </c>
      <c r="E70" s="454">
        <v>4250</v>
      </c>
      <c r="F70" s="454">
        <v>9000</v>
      </c>
    </row>
    <row r="71" spans="1:6" hidden="1">
      <c r="A71" s="454" t="s">
        <v>65</v>
      </c>
      <c r="B71" s="454" t="s">
        <v>958</v>
      </c>
      <c r="C71" s="454" t="s">
        <v>66</v>
      </c>
      <c r="D71" s="454" t="s">
        <v>967</v>
      </c>
      <c r="E71" s="454">
        <v>235366.13</v>
      </c>
      <c r="F71" s="454">
        <v>175044.71</v>
      </c>
    </row>
    <row r="72" spans="1:6" hidden="1">
      <c r="A72" s="454" t="s">
        <v>67</v>
      </c>
      <c r="B72" s="454" t="s">
        <v>958</v>
      </c>
      <c r="C72" s="454" t="s">
        <v>68</v>
      </c>
      <c r="D72" s="454" t="s">
        <v>967</v>
      </c>
      <c r="E72" s="454">
        <v>22440.38</v>
      </c>
      <c r="F72" s="454">
        <v>379677.74</v>
      </c>
    </row>
    <row r="73" spans="1:6" hidden="1">
      <c r="A73" s="454" t="s">
        <v>69</v>
      </c>
      <c r="B73" s="454" t="s">
        <v>958</v>
      </c>
      <c r="C73" s="454" t="s">
        <v>394</v>
      </c>
      <c r="D73" s="454" t="s">
        <v>967</v>
      </c>
      <c r="E73" s="454">
        <v>47588.4</v>
      </c>
      <c r="F73" s="454">
        <v>52420.2</v>
      </c>
    </row>
    <row r="74" spans="1:6" hidden="1">
      <c r="A74" s="454" t="s">
        <v>70</v>
      </c>
      <c r="B74" s="454" t="s">
        <v>958</v>
      </c>
      <c r="C74" s="454" t="s">
        <v>394</v>
      </c>
      <c r="D74" s="454" t="s">
        <v>967</v>
      </c>
      <c r="E74" s="454">
        <v>235663.75</v>
      </c>
      <c r="F74" s="454">
        <v>257570.97</v>
      </c>
    </row>
    <row r="75" spans="1:6" hidden="1">
      <c r="A75" s="454" t="s">
        <v>71</v>
      </c>
      <c r="B75" s="454" t="s">
        <v>958</v>
      </c>
      <c r="C75" s="454" t="s">
        <v>394</v>
      </c>
      <c r="D75" s="454" t="s">
        <v>967</v>
      </c>
      <c r="E75" s="454">
        <v>10594.79</v>
      </c>
      <c r="F75" s="454">
        <v>14947.38</v>
      </c>
    </row>
    <row r="76" spans="1:6" hidden="1">
      <c r="A76" s="454" t="s">
        <v>72</v>
      </c>
      <c r="B76" s="454" t="s">
        <v>958</v>
      </c>
      <c r="C76" s="454" t="s">
        <v>394</v>
      </c>
      <c r="D76" s="454" t="s">
        <v>967</v>
      </c>
      <c r="E76" s="454">
        <v>13395.85</v>
      </c>
      <c r="F76" s="454">
        <v>14993.63</v>
      </c>
    </row>
    <row r="77" spans="1:6" hidden="1">
      <c r="A77" s="454" t="s">
        <v>73</v>
      </c>
      <c r="B77" s="454" t="s">
        <v>958</v>
      </c>
      <c r="C77" s="454" t="s">
        <v>1114</v>
      </c>
      <c r="D77" s="454" t="s">
        <v>967</v>
      </c>
      <c r="E77" s="454">
        <v>572.58000000000004</v>
      </c>
      <c r="F77" s="454">
        <v>612.02</v>
      </c>
    </row>
    <row r="78" spans="1:6">
      <c r="A78" s="454" t="s">
        <v>74</v>
      </c>
      <c r="B78" s="454" t="s">
        <v>960</v>
      </c>
      <c r="C78" s="454" t="s">
        <v>396</v>
      </c>
      <c r="D78" s="454" t="s">
        <v>967</v>
      </c>
      <c r="E78" s="454">
        <v>3054.24</v>
      </c>
    </row>
    <row r="79" spans="1:6" hidden="1">
      <c r="A79" s="454" t="s">
        <v>1775</v>
      </c>
      <c r="B79" s="454" t="s">
        <v>962</v>
      </c>
      <c r="C79" s="454" t="s">
        <v>2536</v>
      </c>
      <c r="D79" s="454" t="s">
        <v>967</v>
      </c>
      <c r="E79" s="454">
        <v>96800</v>
      </c>
    </row>
    <row r="80" spans="1:6" hidden="1">
      <c r="A80" s="454" t="s">
        <v>77</v>
      </c>
      <c r="B80" s="454" t="s">
        <v>962</v>
      </c>
      <c r="C80" s="454" t="s">
        <v>412</v>
      </c>
      <c r="D80" s="454" t="s">
        <v>967</v>
      </c>
      <c r="E80" s="454">
        <v>51616</v>
      </c>
      <c r="F80" s="454">
        <v>1315.79</v>
      </c>
    </row>
    <row r="81" spans="1:6" hidden="1">
      <c r="A81" s="454" t="s">
        <v>78</v>
      </c>
      <c r="B81" s="454" t="s">
        <v>962</v>
      </c>
      <c r="C81" s="454" t="s">
        <v>79</v>
      </c>
      <c r="D81" s="454" t="s">
        <v>967</v>
      </c>
      <c r="E81" s="454">
        <f>2250464.34-294395.63</f>
        <v>1956068.71</v>
      </c>
      <c r="F81" s="454">
        <f>1515703.24+18480</f>
        <v>1534183.24</v>
      </c>
    </row>
    <row r="82" spans="1:6" hidden="1">
      <c r="A82" s="454" t="s">
        <v>80</v>
      </c>
      <c r="B82" s="454" t="s">
        <v>962</v>
      </c>
      <c r="C82" s="454" t="s">
        <v>416</v>
      </c>
      <c r="D82" s="454" t="s">
        <v>967</v>
      </c>
      <c r="E82" s="454">
        <v>593.46</v>
      </c>
      <c r="F82" s="454">
        <v>236.77</v>
      </c>
    </row>
    <row r="83" spans="1:6" hidden="1">
      <c r="A83" s="454" t="s">
        <v>81</v>
      </c>
      <c r="B83" s="454" t="s">
        <v>962</v>
      </c>
      <c r="C83" s="454" t="s">
        <v>420</v>
      </c>
      <c r="D83" s="454" t="s">
        <v>967</v>
      </c>
      <c r="E83" s="454">
        <v>27739</v>
      </c>
    </row>
    <row r="84" spans="1:6" hidden="1">
      <c r="A84" s="454" t="s">
        <v>82</v>
      </c>
      <c r="B84" s="454" t="s">
        <v>962</v>
      </c>
      <c r="C84" s="454" t="s">
        <v>1303</v>
      </c>
      <c r="D84" s="454" t="s">
        <v>967</v>
      </c>
      <c r="E84" s="454">
        <v>353.91</v>
      </c>
      <c r="F84" s="454">
        <v>13036.9</v>
      </c>
    </row>
    <row r="85" spans="1:6" hidden="1">
      <c r="A85" s="454" t="s">
        <v>83</v>
      </c>
      <c r="B85" s="454" t="s">
        <v>962</v>
      </c>
      <c r="C85" s="454" t="s">
        <v>430</v>
      </c>
      <c r="D85" s="454" t="s">
        <v>967</v>
      </c>
      <c r="E85" s="454">
        <v>4624.3999999999996</v>
      </c>
      <c r="F85" s="454">
        <v>185.64</v>
      </c>
    </row>
    <row r="86" spans="1:6" hidden="1">
      <c r="A86" s="454" t="s">
        <v>84</v>
      </c>
      <c r="B86" s="454" t="s">
        <v>962</v>
      </c>
      <c r="C86" s="454" t="s">
        <v>432</v>
      </c>
      <c r="D86" s="454" t="s">
        <v>967</v>
      </c>
      <c r="E86" s="454">
        <v>16241.02</v>
      </c>
      <c r="F86" s="454">
        <v>22133.13</v>
      </c>
    </row>
    <row r="87" spans="1:6" hidden="1">
      <c r="A87" s="454" t="s">
        <v>85</v>
      </c>
      <c r="B87" s="454" t="s">
        <v>962</v>
      </c>
      <c r="C87" s="454" t="s">
        <v>41</v>
      </c>
      <c r="D87" s="454" t="s">
        <v>967</v>
      </c>
      <c r="E87" s="454">
        <v>579097.99</v>
      </c>
      <c r="F87" s="454">
        <v>866174.98</v>
      </c>
    </row>
    <row r="88" spans="1:6" hidden="1">
      <c r="A88" s="454" t="s">
        <v>86</v>
      </c>
      <c r="B88" s="454" t="s">
        <v>962</v>
      </c>
      <c r="C88" s="454" t="s">
        <v>43</v>
      </c>
      <c r="D88" s="454" t="s">
        <v>967</v>
      </c>
      <c r="E88" s="454">
        <v>3587.85</v>
      </c>
      <c r="F88" s="454">
        <v>11070.1</v>
      </c>
    </row>
    <row r="89" spans="1:6" hidden="1">
      <c r="A89" s="454" t="s">
        <v>87</v>
      </c>
      <c r="B89" s="454" t="s">
        <v>962</v>
      </c>
      <c r="C89" s="454" t="s">
        <v>43</v>
      </c>
      <c r="D89" s="454" t="s">
        <v>967</v>
      </c>
      <c r="E89" s="454">
        <v>111929.72</v>
      </c>
      <c r="F89" s="454">
        <v>28611.57</v>
      </c>
    </row>
    <row r="90" spans="1:6" ht="14.25" hidden="1" thickTop="1" thickBot="1">
      <c r="A90" s="850" t="s">
        <v>1464</v>
      </c>
      <c r="B90" s="455"/>
      <c r="C90" s="455"/>
      <c r="D90" s="851"/>
      <c r="E90" s="854">
        <f>SUM(E66:E89)</f>
        <v>5299293.9499999993</v>
      </c>
      <c r="F90" s="854">
        <f>SUM(F66:F89)</f>
        <v>5401852.3399999999</v>
      </c>
    </row>
    <row r="91" spans="1:6" hidden="1"/>
    <row r="92" spans="1:6" hidden="1">
      <c r="A92" s="454" t="s">
        <v>1057</v>
      </c>
      <c r="B92" s="454" t="s">
        <v>962</v>
      </c>
      <c r="C92" s="454" t="s">
        <v>41</v>
      </c>
      <c r="D92" s="454" t="s">
        <v>968</v>
      </c>
      <c r="E92" s="454">
        <v>0</v>
      </c>
    </row>
    <row r="93" spans="1:6" hidden="1">
      <c r="A93" s="454" t="s">
        <v>1058</v>
      </c>
      <c r="B93" s="454" t="s">
        <v>962</v>
      </c>
      <c r="C93" s="454" t="s">
        <v>43</v>
      </c>
      <c r="D93" s="454" t="s">
        <v>968</v>
      </c>
      <c r="E93" s="454">
        <v>0</v>
      </c>
    </row>
    <row r="94" spans="1:6" hidden="1">
      <c r="A94" s="454" t="s">
        <v>2389</v>
      </c>
      <c r="B94" s="454" t="s">
        <v>962</v>
      </c>
      <c r="C94" s="454" t="s">
        <v>2531</v>
      </c>
      <c r="D94" s="454" t="s">
        <v>968</v>
      </c>
      <c r="E94" s="454">
        <v>0</v>
      </c>
      <c r="F94" s="454">
        <v>7844979.8099999996</v>
      </c>
    </row>
    <row r="95" spans="1:6" ht="14.25" hidden="1" thickTop="1" thickBot="1">
      <c r="A95" s="850" t="s">
        <v>1464</v>
      </c>
      <c r="B95" s="455"/>
      <c r="C95" s="455"/>
      <c r="D95" s="851"/>
      <c r="E95" s="854">
        <f>SUM(E92:E94)</f>
        <v>0</v>
      </c>
      <c r="F95" s="854">
        <f>SUM(F92:F94)</f>
        <v>7844979.8099999996</v>
      </c>
    </row>
    <row r="96" spans="1:6" hidden="1"/>
    <row r="97" spans="1:6" hidden="1">
      <c r="A97" s="454" t="s">
        <v>1061</v>
      </c>
      <c r="B97" s="454" t="s">
        <v>27</v>
      </c>
      <c r="C97" s="454" t="s">
        <v>381</v>
      </c>
      <c r="D97" s="454" t="s">
        <v>969</v>
      </c>
      <c r="E97" s="454">
        <v>0</v>
      </c>
    </row>
    <row r="98" spans="1:6" ht="14.25" hidden="1" thickTop="1" thickBot="1">
      <c r="A98" s="850" t="s">
        <v>1464</v>
      </c>
      <c r="B98" s="455"/>
      <c r="C98" s="455"/>
      <c r="D98" s="851"/>
      <c r="E98" s="854">
        <f>SUM(E97)</f>
        <v>0</v>
      </c>
      <c r="F98" s="854">
        <f>SUM(F97)</f>
        <v>0</v>
      </c>
    </row>
    <row r="99" spans="1:6" hidden="1"/>
    <row r="100" spans="1:6" hidden="1">
      <c r="A100" s="454" t="s">
        <v>1062</v>
      </c>
      <c r="B100" s="454" t="s">
        <v>962</v>
      </c>
      <c r="C100" s="454" t="s">
        <v>410</v>
      </c>
      <c r="D100" s="454" t="s">
        <v>969</v>
      </c>
      <c r="E100" s="454">
        <v>7519</v>
      </c>
      <c r="F100" s="454">
        <v>9170</v>
      </c>
    </row>
    <row r="101" spans="1:6" hidden="1">
      <c r="A101" s="913" t="s">
        <v>1063</v>
      </c>
      <c r="B101" s="454" t="s">
        <v>962</v>
      </c>
      <c r="C101" s="913" t="s">
        <v>2535</v>
      </c>
      <c r="D101" s="454" t="s">
        <v>969</v>
      </c>
      <c r="E101" s="913"/>
      <c r="F101" s="913">
        <v>500</v>
      </c>
    </row>
    <row r="102" spans="1:6" hidden="1">
      <c r="A102" s="454" t="s">
        <v>1064</v>
      </c>
      <c r="B102" s="454" t="s">
        <v>962</v>
      </c>
      <c r="C102" s="454" t="s">
        <v>79</v>
      </c>
      <c r="D102" s="454" t="s">
        <v>969</v>
      </c>
      <c r="E102" s="454">
        <v>280704.07</v>
      </c>
    </row>
    <row r="103" spans="1:6" hidden="1">
      <c r="A103" s="454" t="s">
        <v>1065</v>
      </c>
      <c r="B103" s="454" t="s">
        <v>962</v>
      </c>
      <c r="C103" s="454" t="s">
        <v>1060</v>
      </c>
      <c r="D103" s="454" t="s">
        <v>969</v>
      </c>
      <c r="E103" s="454">
        <v>140540.84</v>
      </c>
      <c r="F103" s="454">
        <v>40310.559999999998</v>
      </c>
    </row>
    <row r="104" spans="1:6" hidden="1">
      <c r="A104" s="913" t="s">
        <v>1067</v>
      </c>
      <c r="B104" s="454" t="s">
        <v>962</v>
      </c>
      <c r="C104" s="913" t="s">
        <v>2534</v>
      </c>
      <c r="D104" s="454" t="s">
        <v>969</v>
      </c>
      <c r="E104" s="913"/>
      <c r="F104" s="913">
        <v>1095</v>
      </c>
    </row>
    <row r="105" spans="1:6" hidden="1">
      <c r="A105" s="454" t="s">
        <v>1068</v>
      </c>
      <c r="B105" s="454" t="s">
        <v>962</v>
      </c>
      <c r="C105" s="454" t="s">
        <v>432</v>
      </c>
      <c r="D105" s="454" t="s">
        <v>969</v>
      </c>
      <c r="E105" s="454">
        <v>6953.64</v>
      </c>
      <c r="F105" s="454">
        <v>25931.040000000001</v>
      </c>
    </row>
    <row r="106" spans="1:6" hidden="1">
      <c r="A106" s="454" t="s">
        <v>1069</v>
      </c>
      <c r="B106" s="454" t="s">
        <v>962</v>
      </c>
      <c r="C106" s="454" t="s">
        <v>41</v>
      </c>
      <c r="D106" s="454" t="s">
        <v>969</v>
      </c>
      <c r="E106" s="454">
        <v>39573.919999999998</v>
      </c>
      <c r="F106" s="454">
        <v>72251.8</v>
      </c>
    </row>
    <row r="107" spans="1:6" hidden="1">
      <c r="A107" s="454" t="s">
        <v>1070</v>
      </c>
      <c r="B107" s="454" t="s">
        <v>962</v>
      </c>
      <c r="C107" s="454" t="s">
        <v>2532</v>
      </c>
      <c r="D107" s="454" t="s">
        <v>969</v>
      </c>
      <c r="F107" s="454">
        <v>273.75</v>
      </c>
    </row>
    <row r="108" spans="1:6" hidden="1">
      <c r="A108" s="454" t="s">
        <v>2411</v>
      </c>
      <c r="B108" s="454" t="s">
        <v>962</v>
      </c>
      <c r="C108" s="454" t="s">
        <v>2533</v>
      </c>
      <c r="D108" s="454" t="s">
        <v>969</v>
      </c>
      <c r="F108" s="454">
        <v>52998.1</v>
      </c>
    </row>
    <row r="109" spans="1:6" hidden="1">
      <c r="A109" s="454" t="s">
        <v>1885</v>
      </c>
      <c r="B109" s="454" t="s">
        <v>962</v>
      </c>
      <c r="C109" s="454" t="s">
        <v>1886</v>
      </c>
      <c r="D109" s="454" t="s">
        <v>969</v>
      </c>
    </row>
    <row r="110" spans="1:6" ht="14.25" hidden="1" thickTop="1" thickBot="1">
      <c r="A110" s="850" t="s">
        <v>1464</v>
      </c>
      <c r="B110" s="455"/>
      <c r="C110" s="455"/>
      <c r="D110" s="851"/>
      <c r="E110" s="854">
        <f>SUM(E100:E106)</f>
        <v>475291.47000000003</v>
      </c>
      <c r="F110" s="854">
        <f>SUM(F100:F108)</f>
        <v>202530.25000000003</v>
      </c>
    </row>
    <row r="111" spans="1:6" hidden="1"/>
    <row r="112" spans="1:6" hidden="1">
      <c r="A112" s="454" t="s">
        <v>89</v>
      </c>
      <c r="B112" s="454" t="s">
        <v>958</v>
      </c>
      <c r="C112" s="454" t="s">
        <v>59</v>
      </c>
      <c r="D112" s="454" t="s">
        <v>970</v>
      </c>
      <c r="E112" s="454">
        <v>1135523.81</v>
      </c>
      <c r="F112" s="454">
        <v>1164280.6200000001</v>
      </c>
    </row>
    <row r="113" spans="1:6" hidden="1">
      <c r="A113" s="454" t="s">
        <v>90</v>
      </c>
      <c r="B113" s="454" t="s">
        <v>958</v>
      </c>
      <c r="C113" s="454" t="s">
        <v>61</v>
      </c>
      <c r="D113" s="454" t="s">
        <v>970</v>
      </c>
      <c r="E113" s="454">
        <v>26060.17</v>
      </c>
      <c r="F113" s="454">
        <v>40294.61</v>
      </c>
    </row>
    <row r="114" spans="1:6" hidden="1">
      <c r="A114" s="454" t="s">
        <v>91</v>
      </c>
      <c r="B114" s="454" t="s">
        <v>958</v>
      </c>
      <c r="C114" s="454" t="s">
        <v>51</v>
      </c>
      <c r="D114" s="454" t="s">
        <v>970</v>
      </c>
      <c r="E114" s="454">
        <v>90749.86</v>
      </c>
      <c r="F114" s="454">
        <v>89913.02</v>
      </c>
    </row>
    <row r="115" spans="1:6" hidden="1">
      <c r="A115" s="454" t="s">
        <v>92</v>
      </c>
      <c r="B115" s="454" t="s">
        <v>958</v>
      </c>
      <c r="C115" s="454" t="s">
        <v>364</v>
      </c>
      <c r="D115" s="454" t="s">
        <v>970</v>
      </c>
      <c r="E115" s="454">
        <v>213083.57</v>
      </c>
      <c r="F115" s="454">
        <v>259192.95999999999</v>
      </c>
    </row>
    <row r="116" spans="1:6" hidden="1">
      <c r="A116" s="454" t="s">
        <v>93</v>
      </c>
      <c r="B116" s="454" t="s">
        <v>958</v>
      </c>
      <c r="C116" s="454" t="s">
        <v>517</v>
      </c>
      <c r="D116" s="454" t="s">
        <v>970</v>
      </c>
      <c r="E116" s="454">
        <v>20543.79</v>
      </c>
      <c r="F116" s="454">
        <v>16917.84</v>
      </c>
    </row>
    <row r="117" spans="1:6" hidden="1">
      <c r="A117" s="454" t="s">
        <v>94</v>
      </c>
      <c r="B117" s="454" t="s">
        <v>958</v>
      </c>
      <c r="C117" s="454" t="s">
        <v>66</v>
      </c>
      <c r="D117" s="454" t="s">
        <v>970</v>
      </c>
      <c r="E117" s="454">
        <v>190192.73</v>
      </c>
      <c r="F117" s="454">
        <v>208427.64</v>
      </c>
    </row>
    <row r="118" spans="1:6" hidden="1">
      <c r="A118" s="454" t="s">
        <v>95</v>
      </c>
      <c r="B118" s="454" t="s">
        <v>958</v>
      </c>
      <c r="C118" s="454" t="s">
        <v>96</v>
      </c>
      <c r="D118" s="454" t="s">
        <v>970</v>
      </c>
      <c r="E118" s="454">
        <v>113812.4</v>
      </c>
      <c r="F118" s="454">
        <v>32291.81</v>
      </c>
    </row>
    <row r="119" spans="1:6" hidden="1">
      <c r="A119" s="454" t="s">
        <v>97</v>
      </c>
      <c r="B119" s="454" t="s">
        <v>958</v>
      </c>
      <c r="C119" s="454" t="s">
        <v>394</v>
      </c>
      <c r="D119" s="454" t="s">
        <v>970</v>
      </c>
      <c r="E119" s="454">
        <v>83369.72</v>
      </c>
      <c r="F119" s="454">
        <v>106594.64</v>
      </c>
    </row>
    <row r="120" spans="1:6" hidden="1">
      <c r="A120" s="454" t="s">
        <v>98</v>
      </c>
      <c r="B120" s="454" t="s">
        <v>958</v>
      </c>
      <c r="C120" s="454" t="s">
        <v>394</v>
      </c>
      <c r="D120" s="454" t="s">
        <v>970</v>
      </c>
      <c r="E120" s="454">
        <v>241726.01</v>
      </c>
      <c r="F120" s="454">
        <v>251657.85</v>
      </c>
    </row>
    <row r="121" spans="1:6" hidden="1">
      <c r="A121" s="454" t="s">
        <v>99</v>
      </c>
      <c r="B121" s="454" t="s">
        <v>958</v>
      </c>
      <c r="C121" s="454" t="s">
        <v>394</v>
      </c>
      <c r="D121" s="454" t="s">
        <v>970</v>
      </c>
      <c r="E121" s="454">
        <v>10929.21</v>
      </c>
      <c r="F121" s="454">
        <v>11572.94</v>
      </c>
    </row>
    <row r="122" spans="1:6" hidden="1">
      <c r="A122" s="454" t="s">
        <v>100</v>
      </c>
      <c r="B122" s="454" t="s">
        <v>958</v>
      </c>
      <c r="C122" s="454" t="s">
        <v>394</v>
      </c>
      <c r="D122" s="454" t="s">
        <v>970</v>
      </c>
      <c r="E122" s="454">
        <v>16865.060000000001</v>
      </c>
      <c r="F122" s="454">
        <v>17104.8</v>
      </c>
    </row>
    <row r="123" spans="1:6" hidden="1">
      <c r="A123" s="454" t="s">
        <v>101</v>
      </c>
      <c r="B123" s="454" t="s">
        <v>958</v>
      </c>
      <c r="C123" s="454" t="s">
        <v>1114</v>
      </c>
      <c r="D123" s="454" t="s">
        <v>970</v>
      </c>
      <c r="E123" s="454">
        <v>591.33000000000004</v>
      </c>
      <c r="F123" s="454">
        <v>607.91999999999996</v>
      </c>
    </row>
    <row r="124" spans="1:6">
      <c r="A124" s="454" t="s">
        <v>102</v>
      </c>
      <c r="B124" s="454" t="s">
        <v>960</v>
      </c>
      <c r="C124" s="454" t="s">
        <v>396</v>
      </c>
      <c r="D124" s="454" t="s">
        <v>970</v>
      </c>
      <c r="E124" s="454">
        <v>1135.1300000000001</v>
      </c>
    </row>
    <row r="125" spans="1:6" hidden="1">
      <c r="A125" s="454" t="s">
        <v>104</v>
      </c>
      <c r="B125" s="454" t="s">
        <v>962</v>
      </c>
      <c r="C125" s="454" t="s">
        <v>410</v>
      </c>
      <c r="D125" s="454" t="s">
        <v>970</v>
      </c>
      <c r="E125" s="454">
        <v>-1481.68</v>
      </c>
      <c r="F125" s="454">
        <v>9082.75</v>
      </c>
    </row>
    <row r="126" spans="1:6" hidden="1">
      <c r="A126" s="454" t="s">
        <v>105</v>
      </c>
      <c r="B126" s="454" t="s">
        <v>962</v>
      </c>
      <c r="C126" s="454" t="s">
        <v>412</v>
      </c>
      <c r="D126" s="454" t="s">
        <v>970</v>
      </c>
      <c r="E126" s="454">
        <v>3484.63</v>
      </c>
    </row>
    <row r="127" spans="1:6" hidden="1">
      <c r="A127" s="454" t="s">
        <v>107</v>
      </c>
      <c r="B127" s="454" t="s">
        <v>962</v>
      </c>
      <c r="C127" s="454" t="s">
        <v>416</v>
      </c>
      <c r="D127" s="454" t="s">
        <v>970</v>
      </c>
      <c r="E127" s="454">
        <v>1607.36</v>
      </c>
      <c r="F127" s="454">
        <v>3094.07</v>
      </c>
    </row>
    <row r="128" spans="1:6" hidden="1">
      <c r="A128" s="454" t="s">
        <v>108</v>
      </c>
      <c r="B128" s="454" t="s">
        <v>962</v>
      </c>
      <c r="C128" s="454" t="s">
        <v>1303</v>
      </c>
      <c r="D128" s="454" t="s">
        <v>970</v>
      </c>
      <c r="E128" s="454">
        <v>4503.2700000000004</v>
      </c>
      <c r="F128" s="454">
        <v>6678.87</v>
      </c>
    </row>
    <row r="129" spans="1:6" hidden="1">
      <c r="A129" s="454" t="s">
        <v>109</v>
      </c>
      <c r="B129" s="454" t="s">
        <v>962</v>
      </c>
      <c r="C129" s="454" t="s">
        <v>430</v>
      </c>
      <c r="D129" s="454" t="s">
        <v>970</v>
      </c>
      <c r="E129" s="454">
        <v>165.87</v>
      </c>
      <c r="F129" s="454">
        <v>641.88</v>
      </c>
    </row>
    <row r="130" spans="1:6" hidden="1">
      <c r="A130" s="454" t="s">
        <v>110</v>
      </c>
      <c r="B130" s="454" t="s">
        <v>962</v>
      </c>
      <c r="C130" s="454" t="s">
        <v>432</v>
      </c>
      <c r="D130" s="454" t="s">
        <v>970</v>
      </c>
      <c r="E130" s="454">
        <v>135442.04</v>
      </c>
      <c r="F130" s="454">
        <v>96529.86</v>
      </c>
    </row>
    <row r="131" spans="1:6" hidden="1">
      <c r="A131" s="454" t="s">
        <v>1776</v>
      </c>
      <c r="B131" s="454" t="s">
        <v>962</v>
      </c>
      <c r="C131" s="454" t="s">
        <v>1918</v>
      </c>
      <c r="D131" s="454" t="s">
        <v>970</v>
      </c>
      <c r="E131" s="454">
        <v>2126.31</v>
      </c>
    </row>
    <row r="132" spans="1:6" hidden="1">
      <c r="A132" s="454" t="s">
        <v>111</v>
      </c>
      <c r="B132" s="454" t="s">
        <v>962</v>
      </c>
      <c r="C132" s="454" t="s">
        <v>41</v>
      </c>
      <c r="D132" s="454" t="s">
        <v>970</v>
      </c>
      <c r="E132" s="454">
        <v>69147.899999999994</v>
      </c>
      <c r="F132" s="454">
        <v>52510.11</v>
      </c>
    </row>
    <row r="133" spans="1:6" hidden="1">
      <c r="A133" s="454" t="s">
        <v>112</v>
      </c>
      <c r="B133" s="454" t="s">
        <v>962</v>
      </c>
      <c r="C133" s="454" t="s">
        <v>43</v>
      </c>
      <c r="D133" s="454" t="s">
        <v>970</v>
      </c>
      <c r="E133" s="454">
        <v>9220.0499999999993</v>
      </c>
      <c r="F133" s="454">
        <v>8655.11</v>
      </c>
    </row>
    <row r="134" spans="1:6" hidden="1">
      <c r="A134" s="454" t="s">
        <v>113</v>
      </c>
      <c r="B134" s="454" t="s">
        <v>962</v>
      </c>
      <c r="C134" s="454" t="s">
        <v>43</v>
      </c>
      <c r="D134" s="454" t="s">
        <v>970</v>
      </c>
      <c r="E134" s="454">
        <v>894.35</v>
      </c>
      <c r="F134" s="454">
        <v>6052.96</v>
      </c>
    </row>
    <row r="135" spans="1:6" ht="14.25" hidden="1" thickTop="1" thickBot="1">
      <c r="A135" s="850" t="s">
        <v>1464</v>
      </c>
      <c r="B135" s="455"/>
      <c r="C135" s="455"/>
      <c r="D135" s="851"/>
      <c r="E135" s="854">
        <f>SUM(E112:E134)</f>
        <v>2369692.8899999997</v>
      </c>
      <c r="F135" s="854">
        <f>SUM(F112:F134)</f>
        <v>2382102.2599999993</v>
      </c>
    </row>
    <row r="136" spans="1:6" hidden="1"/>
    <row r="137" spans="1:6" hidden="1">
      <c r="A137" s="454" t="s">
        <v>1777</v>
      </c>
      <c r="B137" s="454" t="s">
        <v>962</v>
      </c>
      <c r="C137" s="454" t="s">
        <v>2509</v>
      </c>
      <c r="D137" s="454" t="s">
        <v>971</v>
      </c>
      <c r="E137" s="454">
        <v>2934.3</v>
      </c>
      <c r="F137" s="454">
        <v>5383.95</v>
      </c>
    </row>
    <row r="138" spans="1:6" hidden="1">
      <c r="A138" s="454" t="s">
        <v>115</v>
      </c>
      <c r="B138" s="454" t="s">
        <v>962</v>
      </c>
      <c r="C138" s="454" t="s">
        <v>412</v>
      </c>
      <c r="D138" s="454" t="s">
        <v>971</v>
      </c>
      <c r="E138" s="454">
        <v>228.57</v>
      </c>
      <c r="F138" s="454">
        <v>4615.79</v>
      </c>
    </row>
    <row r="139" spans="1:6" hidden="1">
      <c r="A139" s="454" t="s">
        <v>116</v>
      </c>
      <c r="B139" s="454" t="s">
        <v>962</v>
      </c>
      <c r="C139" s="454" t="s">
        <v>79</v>
      </c>
      <c r="D139" s="454" t="s">
        <v>971</v>
      </c>
      <c r="E139" s="454">
        <v>180533.55</v>
      </c>
    </row>
    <row r="140" spans="1:6" hidden="1">
      <c r="A140" s="913" t="s">
        <v>429</v>
      </c>
      <c r="B140" s="454" t="s">
        <v>962</v>
      </c>
      <c r="C140" s="913" t="s">
        <v>430</v>
      </c>
      <c r="D140" s="454" t="s">
        <v>971</v>
      </c>
      <c r="E140" s="913"/>
      <c r="F140" s="913">
        <v>166.9</v>
      </c>
    </row>
    <row r="141" spans="1:6" hidden="1">
      <c r="A141" s="454" t="s">
        <v>118</v>
      </c>
      <c r="B141" s="454" t="s">
        <v>962</v>
      </c>
      <c r="C141" s="454" t="s">
        <v>432</v>
      </c>
      <c r="D141" s="454" t="s">
        <v>971</v>
      </c>
      <c r="E141" s="454">
        <v>17029.05</v>
      </c>
      <c r="F141" s="454">
        <v>4708.9399999999996</v>
      </c>
    </row>
    <row r="142" spans="1:6" hidden="1">
      <c r="A142" s="454" t="s">
        <v>119</v>
      </c>
      <c r="B142" s="454" t="s">
        <v>962</v>
      </c>
      <c r="C142" s="454" t="s">
        <v>41</v>
      </c>
      <c r="D142" s="454" t="s">
        <v>971</v>
      </c>
      <c r="E142" s="454">
        <v>65829.59</v>
      </c>
      <c r="F142" s="454">
        <v>104353.84</v>
      </c>
    </row>
    <row r="143" spans="1:6" hidden="1">
      <c r="A143" s="913" t="s">
        <v>120</v>
      </c>
      <c r="B143" s="454" t="s">
        <v>962</v>
      </c>
      <c r="C143" s="913" t="s">
        <v>2510</v>
      </c>
      <c r="D143" s="454" t="s">
        <v>971</v>
      </c>
      <c r="E143" s="913"/>
      <c r="F143" s="913">
        <v>375</v>
      </c>
    </row>
    <row r="144" spans="1:6" hidden="1">
      <c r="A144" s="454" t="s">
        <v>121</v>
      </c>
      <c r="B144" s="454" t="s">
        <v>962</v>
      </c>
      <c r="C144" s="454" t="s">
        <v>114</v>
      </c>
      <c r="D144" s="454" t="s">
        <v>971</v>
      </c>
      <c r="E144" s="454">
        <v>272074.90999999997</v>
      </c>
      <c r="F144" s="454">
        <v>477086.96</v>
      </c>
    </row>
    <row r="145" spans="1:6" hidden="1">
      <c r="A145" s="454" t="s">
        <v>122</v>
      </c>
      <c r="B145" s="454" t="s">
        <v>962</v>
      </c>
      <c r="C145" s="454" t="s">
        <v>123</v>
      </c>
      <c r="D145" s="454" t="s">
        <v>971</v>
      </c>
      <c r="E145" s="454">
        <v>2161.92</v>
      </c>
    </row>
    <row r="146" spans="1:6" ht="14.25" hidden="1" thickTop="1" thickBot="1">
      <c r="A146" s="850" t="s">
        <v>1464</v>
      </c>
      <c r="B146" s="455"/>
      <c r="C146" s="455"/>
      <c r="D146" s="851"/>
      <c r="E146" s="854">
        <f>SUM(E137:E145)</f>
        <v>540791.89</v>
      </c>
      <c r="F146" s="854">
        <f>SUM(F137:F145)</f>
        <v>596691.38</v>
      </c>
    </row>
    <row r="147" spans="1:6" hidden="1"/>
    <row r="148" spans="1:6" hidden="1">
      <c r="A148" s="454" t="s">
        <v>2412</v>
      </c>
      <c r="B148" s="454" t="s">
        <v>308</v>
      </c>
      <c r="C148" s="454" t="s">
        <v>428</v>
      </c>
      <c r="D148" s="454" t="s">
        <v>972</v>
      </c>
      <c r="E148" s="454">
        <v>-7621.47</v>
      </c>
      <c r="F148" s="454">
        <v>-9321.86</v>
      </c>
    </row>
    <row r="149" spans="1:6" ht="14.25" hidden="1" thickTop="1" thickBot="1">
      <c r="A149" s="850" t="s">
        <v>1464</v>
      </c>
      <c r="B149" s="455"/>
      <c r="C149" s="455"/>
      <c r="D149" s="851"/>
      <c r="E149" s="854">
        <f>SUM(E148:E148)</f>
        <v>-7621.47</v>
      </c>
      <c r="F149" s="854">
        <f>SUM(F148:F148)</f>
        <v>-9321.86</v>
      </c>
    </row>
    <row r="150" spans="1:6" hidden="1"/>
    <row r="151" spans="1:6" hidden="1">
      <c r="A151" s="454" t="s">
        <v>125</v>
      </c>
      <c r="B151" s="454" t="s">
        <v>958</v>
      </c>
      <c r="C151" s="454" t="s">
        <v>59</v>
      </c>
      <c r="D151" s="454" t="s">
        <v>972</v>
      </c>
      <c r="E151" s="454">
        <v>108390.91</v>
      </c>
      <c r="F151" s="454">
        <v>109881.97</v>
      </c>
    </row>
    <row r="152" spans="1:6" hidden="1">
      <c r="A152" s="454" t="s">
        <v>126</v>
      </c>
      <c r="B152" s="454" t="s">
        <v>958</v>
      </c>
      <c r="C152" s="454" t="s">
        <v>51</v>
      </c>
      <c r="D152" s="454" t="s">
        <v>972</v>
      </c>
      <c r="E152" s="454">
        <v>14947.06</v>
      </c>
      <c r="F152" s="454">
        <v>9126</v>
      </c>
    </row>
    <row r="153" spans="1:6" hidden="1">
      <c r="A153" s="454" t="s">
        <v>1778</v>
      </c>
      <c r="B153" s="454" t="s">
        <v>958</v>
      </c>
      <c r="C153" s="454" t="s">
        <v>1779</v>
      </c>
      <c r="D153" s="454" t="s">
        <v>972</v>
      </c>
      <c r="E153" s="454">
        <v>11687.93</v>
      </c>
      <c r="F153" s="454">
        <v>6848.36</v>
      </c>
    </row>
    <row r="154" spans="1:6" hidden="1">
      <c r="A154" s="454" t="s">
        <v>127</v>
      </c>
      <c r="B154" s="454" t="s">
        <v>958</v>
      </c>
      <c r="C154" s="454" t="s">
        <v>385</v>
      </c>
      <c r="D154" s="454" t="s">
        <v>972</v>
      </c>
      <c r="E154" s="454">
        <v>13615.2</v>
      </c>
      <c r="F154" s="454">
        <v>15526.8</v>
      </c>
    </row>
    <row r="155" spans="1:6" hidden="1">
      <c r="A155" s="454" t="s">
        <v>128</v>
      </c>
      <c r="B155" s="454" t="s">
        <v>958</v>
      </c>
      <c r="C155" s="454" t="s">
        <v>394</v>
      </c>
      <c r="D155" s="454" t="s">
        <v>972</v>
      </c>
      <c r="E155" s="454">
        <v>22807.74</v>
      </c>
      <c r="F155" s="454">
        <v>22833.439999999999</v>
      </c>
    </row>
    <row r="156" spans="1:6" hidden="1">
      <c r="A156" s="454" t="s">
        <v>129</v>
      </c>
      <c r="B156" s="454" t="s">
        <v>958</v>
      </c>
      <c r="C156" s="454" t="s">
        <v>394</v>
      </c>
      <c r="D156" s="454" t="s">
        <v>972</v>
      </c>
      <c r="E156" s="454">
        <v>1395.15</v>
      </c>
      <c r="F156" s="454">
        <v>1223.06</v>
      </c>
    </row>
    <row r="157" spans="1:6" hidden="1">
      <c r="A157" s="454" t="s">
        <v>130</v>
      </c>
      <c r="B157" s="454" t="s">
        <v>958</v>
      </c>
      <c r="C157" s="454" t="s">
        <v>394</v>
      </c>
      <c r="D157" s="454" t="s">
        <v>972</v>
      </c>
      <c r="E157" s="454">
        <v>158.47999999999999</v>
      </c>
    </row>
    <row r="158" spans="1:6" hidden="1">
      <c r="A158" s="454" t="s">
        <v>131</v>
      </c>
      <c r="B158" s="454" t="s">
        <v>958</v>
      </c>
      <c r="C158" s="454" t="s">
        <v>1114</v>
      </c>
      <c r="D158" s="454" t="s">
        <v>972</v>
      </c>
      <c r="E158" s="454">
        <v>48.75</v>
      </c>
      <c r="F158" s="454">
        <v>49.2</v>
      </c>
    </row>
    <row r="159" spans="1:6">
      <c r="A159" s="454" t="s">
        <v>132</v>
      </c>
      <c r="B159" s="454" t="s">
        <v>960</v>
      </c>
      <c r="C159" s="454" t="s">
        <v>396</v>
      </c>
      <c r="D159" s="454" t="s">
        <v>972</v>
      </c>
      <c r="E159" s="454">
        <v>5.33</v>
      </c>
    </row>
    <row r="160" spans="1:6" hidden="1">
      <c r="A160" s="454" t="s">
        <v>133</v>
      </c>
      <c r="B160" s="454" t="s">
        <v>961</v>
      </c>
      <c r="C160" s="454" t="s">
        <v>399</v>
      </c>
      <c r="D160" s="454" t="s">
        <v>972</v>
      </c>
      <c r="E160" s="454">
        <v>249.99</v>
      </c>
    </row>
    <row r="161" spans="1:7" hidden="1">
      <c r="A161" s="454" t="s">
        <v>134</v>
      </c>
      <c r="B161" s="454" t="s">
        <v>962</v>
      </c>
      <c r="C161" s="454" t="s">
        <v>416</v>
      </c>
      <c r="D161" s="454" t="s">
        <v>972</v>
      </c>
      <c r="E161" s="454">
        <v>1709.51</v>
      </c>
    </row>
    <row r="162" spans="1:7" hidden="1">
      <c r="A162" s="454" t="s">
        <v>135</v>
      </c>
      <c r="B162" s="454" t="s">
        <v>962</v>
      </c>
      <c r="C162" s="454" t="s">
        <v>1303</v>
      </c>
      <c r="D162" s="454" t="s">
        <v>972</v>
      </c>
      <c r="F162" s="454">
        <v>6969</v>
      </c>
    </row>
    <row r="163" spans="1:7" hidden="1">
      <c r="A163" s="454" t="s">
        <v>1780</v>
      </c>
      <c r="B163" s="454" t="s">
        <v>962</v>
      </c>
      <c r="C163" s="454" t="s">
        <v>1781</v>
      </c>
      <c r="D163" s="454" t="s">
        <v>972</v>
      </c>
      <c r="E163" s="454">
        <v>4996.22</v>
      </c>
    </row>
    <row r="164" spans="1:7" hidden="1">
      <c r="A164" s="454" t="s">
        <v>141</v>
      </c>
      <c r="B164" s="454" t="s">
        <v>962</v>
      </c>
      <c r="C164" s="454" t="s">
        <v>432</v>
      </c>
      <c r="D164" s="454" t="s">
        <v>972</v>
      </c>
      <c r="E164" s="454">
        <v>3819.04</v>
      </c>
      <c r="F164" s="454">
        <v>25757.05</v>
      </c>
    </row>
    <row r="165" spans="1:7" hidden="1">
      <c r="A165" s="454" t="s">
        <v>142</v>
      </c>
      <c r="B165" s="454" t="s">
        <v>962</v>
      </c>
      <c r="C165" s="454" t="s">
        <v>41</v>
      </c>
      <c r="D165" s="454" t="s">
        <v>972</v>
      </c>
      <c r="E165" s="454">
        <v>428.57</v>
      </c>
      <c r="F165" s="454">
        <v>140</v>
      </c>
    </row>
    <row r="166" spans="1:7" ht="14.25" hidden="1" thickTop="1" thickBot="1">
      <c r="A166" s="850" t="s">
        <v>1464</v>
      </c>
      <c r="B166" s="455"/>
      <c r="C166" s="455"/>
      <c r="D166" s="851"/>
      <c r="E166" s="854">
        <f>SUM(E151:E165)</f>
        <v>184259.88</v>
      </c>
      <c r="F166" s="854">
        <f>SUM(F151:F165)</f>
        <v>198354.88</v>
      </c>
      <c r="G166" s="454">
        <f>F166+F149</f>
        <v>189033.02000000002</v>
      </c>
    </row>
    <row r="167" spans="1:7" hidden="1"/>
    <row r="168" spans="1:7" hidden="1">
      <c r="A168" s="454" t="s">
        <v>145</v>
      </c>
      <c r="B168" s="454" t="s">
        <v>958</v>
      </c>
      <c r="C168" s="454" t="s">
        <v>59</v>
      </c>
      <c r="D168" s="454" t="s">
        <v>973</v>
      </c>
      <c r="E168" s="454">
        <v>209536.97</v>
      </c>
      <c r="F168" s="454">
        <v>219499.4</v>
      </c>
    </row>
    <row r="169" spans="1:7" hidden="1">
      <c r="A169" s="454" t="s">
        <v>146</v>
      </c>
      <c r="B169" s="454" t="s">
        <v>958</v>
      </c>
      <c r="C169" s="454" t="s">
        <v>51</v>
      </c>
      <c r="D169" s="454" t="s">
        <v>973</v>
      </c>
      <c r="E169" s="454">
        <v>16453.28</v>
      </c>
      <c r="F169" s="454">
        <v>18252</v>
      </c>
    </row>
    <row r="170" spans="1:7" hidden="1">
      <c r="A170" s="454" t="s">
        <v>2390</v>
      </c>
      <c r="B170" s="454" t="s">
        <v>958</v>
      </c>
      <c r="C170" s="454" t="s">
        <v>2511</v>
      </c>
      <c r="D170" s="454" t="s">
        <v>973</v>
      </c>
      <c r="F170" s="454">
        <v>735</v>
      </c>
    </row>
    <row r="171" spans="1:7" hidden="1">
      <c r="A171" s="454" t="s">
        <v>147</v>
      </c>
      <c r="B171" s="454" t="s">
        <v>958</v>
      </c>
      <c r="C171" s="454" t="s">
        <v>394</v>
      </c>
      <c r="D171" s="454" t="s">
        <v>973</v>
      </c>
      <c r="E171" s="454">
        <v>12621.6</v>
      </c>
      <c r="F171" s="454">
        <v>14994.6</v>
      </c>
    </row>
    <row r="172" spans="1:7" hidden="1">
      <c r="A172" s="454" t="s">
        <v>148</v>
      </c>
      <c r="B172" s="454" t="s">
        <v>958</v>
      </c>
      <c r="C172" s="454" t="s">
        <v>394</v>
      </c>
      <c r="D172" s="454" t="s">
        <v>973</v>
      </c>
      <c r="E172" s="454">
        <v>45831.3</v>
      </c>
      <c r="F172" s="454">
        <v>48325.78</v>
      </c>
    </row>
    <row r="173" spans="1:7" hidden="1">
      <c r="A173" s="454" t="s">
        <v>149</v>
      </c>
      <c r="B173" s="454" t="s">
        <v>958</v>
      </c>
      <c r="C173" s="454" t="s">
        <v>394</v>
      </c>
      <c r="D173" s="454" t="s">
        <v>973</v>
      </c>
      <c r="E173" s="454">
        <v>2080.9699999999998</v>
      </c>
      <c r="F173" s="454">
        <v>2250.67</v>
      </c>
    </row>
    <row r="174" spans="1:7" hidden="1">
      <c r="A174" s="454" t="s">
        <v>150</v>
      </c>
      <c r="B174" s="454" t="s">
        <v>958</v>
      </c>
      <c r="C174" s="454" t="s">
        <v>394</v>
      </c>
      <c r="D174" s="454" t="s">
        <v>973</v>
      </c>
      <c r="E174" s="454">
        <v>2942.92</v>
      </c>
      <c r="F174" s="454">
        <v>3329.28</v>
      </c>
    </row>
    <row r="175" spans="1:7" hidden="1">
      <c r="A175" s="454" t="s">
        <v>151</v>
      </c>
      <c r="B175" s="454" t="s">
        <v>958</v>
      </c>
      <c r="C175" s="454" t="s">
        <v>1114</v>
      </c>
      <c r="D175" s="454" t="s">
        <v>973</v>
      </c>
      <c r="E175" s="454">
        <v>90</v>
      </c>
      <c r="F175" s="454">
        <v>98.4</v>
      </c>
    </row>
    <row r="176" spans="1:7">
      <c r="A176" s="454" t="s">
        <v>152</v>
      </c>
      <c r="B176" s="454" t="s">
        <v>960</v>
      </c>
      <c r="C176" s="454" t="s">
        <v>396</v>
      </c>
      <c r="D176" s="454" t="s">
        <v>973</v>
      </c>
      <c r="E176" s="454">
        <v>114.8</v>
      </c>
    </row>
    <row r="177" spans="1:6" hidden="1">
      <c r="A177" s="454" t="s">
        <v>154</v>
      </c>
      <c r="B177" s="454" t="s">
        <v>961</v>
      </c>
      <c r="C177" s="454" t="s">
        <v>2512</v>
      </c>
      <c r="D177" s="454" t="s">
        <v>973</v>
      </c>
      <c r="F177" s="454">
        <v>507.8</v>
      </c>
    </row>
    <row r="178" spans="1:6" hidden="1">
      <c r="A178" s="454" t="s">
        <v>155</v>
      </c>
      <c r="B178" s="454" t="s">
        <v>962</v>
      </c>
      <c r="C178" s="454" t="s">
        <v>416</v>
      </c>
      <c r="D178" s="454" t="s">
        <v>973</v>
      </c>
      <c r="E178" s="454">
        <v>12</v>
      </c>
    </row>
    <row r="179" spans="1:6" hidden="1">
      <c r="A179" s="454" t="s">
        <v>157</v>
      </c>
      <c r="B179" s="454" t="s">
        <v>962</v>
      </c>
      <c r="C179" s="454" t="s">
        <v>432</v>
      </c>
      <c r="D179" s="454" t="s">
        <v>973</v>
      </c>
      <c r="E179" s="454">
        <v>1193.51</v>
      </c>
    </row>
    <row r="180" spans="1:6" hidden="1">
      <c r="A180" s="454" t="s">
        <v>159</v>
      </c>
      <c r="B180" s="454" t="s">
        <v>962</v>
      </c>
      <c r="C180" s="454" t="s">
        <v>41</v>
      </c>
      <c r="D180" s="454" t="s">
        <v>973</v>
      </c>
      <c r="E180" s="454">
        <v>1236.1199999999999</v>
      </c>
      <c r="F180" s="454">
        <v>1300</v>
      </c>
    </row>
    <row r="181" spans="1:6" hidden="1">
      <c r="A181" s="454" t="s">
        <v>160</v>
      </c>
      <c r="B181" s="454" t="s">
        <v>962</v>
      </c>
      <c r="C181" s="454" t="s">
        <v>43</v>
      </c>
      <c r="D181" s="454" t="s">
        <v>973</v>
      </c>
      <c r="E181" s="454">
        <v>11141.1</v>
      </c>
      <c r="F181" s="454">
        <v>12956.37</v>
      </c>
    </row>
    <row r="182" spans="1:6" ht="14.25" hidden="1" thickTop="1" thickBot="1">
      <c r="A182" s="850" t="s">
        <v>1464</v>
      </c>
      <c r="B182" s="455"/>
      <c r="C182" s="455"/>
      <c r="D182" s="851"/>
      <c r="E182" s="854">
        <f>SUM(E168:E181)</f>
        <v>303254.56999999995</v>
      </c>
      <c r="F182" s="854">
        <f>SUM(F168:F181)</f>
        <v>322249.30000000005</v>
      </c>
    </row>
    <row r="183" spans="1:6" hidden="1"/>
    <row r="184" spans="1:6" hidden="1">
      <c r="A184" s="454" t="s">
        <v>162</v>
      </c>
      <c r="B184" s="454" t="s">
        <v>18</v>
      </c>
      <c r="C184" s="454" t="s">
        <v>163</v>
      </c>
      <c r="D184" s="454" t="s">
        <v>974</v>
      </c>
      <c r="E184" s="454">
        <v>-67227.759999999995</v>
      </c>
      <c r="F184" s="454">
        <v>-169601.98</v>
      </c>
    </row>
    <row r="185" spans="1:6" hidden="1">
      <c r="A185" s="454" t="s">
        <v>164</v>
      </c>
      <c r="B185" s="454" t="s">
        <v>19</v>
      </c>
      <c r="C185" s="454" t="s">
        <v>163</v>
      </c>
      <c r="D185" s="454" t="s">
        <v>974</v>
      </c>
      <c r="E185" s="454">
        <v>-799677.8</v>
      </c>
      <c r="F185" s="454">
        <v>-1447504.56</v>
      </c>
    </row>
    <row r="186" spans="1:6" hidden="1">
      <c r="A186" s="454" t="s">
        <v>1482</v>
      </c>
      <c r="B186" s="454" t="s">
        <v>20</v>
      </c>
      <c r="C186" s="454" t="s">
        <v>139</v>
      </c>
      <c r="D186" s="454" t="s">
        <v>974</v>
      </c>
      <c r="E186" s="454">
        <v>-21038.45</v>
      </c>
      <c r="F186" s="454">
        <v>-33795.480000000003</v>
      </c>
    </row>
    <row r="187" spans="1:6" hidden="1">
      <c r="A187" s="454" t="s">
        <v>1483</v>
      </c>
      <c r="B187" s="454" t="s">
        <v>22</v>
      </c>
      <c r="C187" s="454" t="s">
        <v>407</v>
      </c>
      <c r="D187" s="454" t="s">
        <v>974</v>
      </c>
      <c r="E187" s="454">
        <v>-2750000</v>
      </c>
      <c r="F187" s="454">
        <v>-3000000</v>
      </c>
    </row>
    <row r="188" spans="1:6" hidden="1">
      <c r="A188" s="454" t="s">
        <v>1782</v>
      </c>
      <c r="B188" s="454" t="s">
        <v>21</v>
      </c>
      <c r="C188" s="454" t="s">
        <v>165</v>
      </c>
      <c r="D188" s="454" t="s">
        <v>974</v>
      </c>
      <c r="E188" s="454">
        <v>-19589329.829999998</v>
      </c>
      <c r="F188" s="454">
        <v>-24045257</v>
      </c>
    </row>
    <row r="189" spans="1:6" ht="14.25" hidden="1" thickTop="1" thickBot="1">
      <c r="A189" s="850" t="s">
        <v>1464</v>
      </c>
      <c r="B189" s="455"/>
      <c r="C189" s="455"/>
      <c r="D189" s="851"/>
      <c r="E189" s="854">
        <f>SUM(E184:E188)</f>
        <v>-23227273.839999996</v>
      </c>
      <c r="F189" s="854">
        <f>SUM(F184:F188)</f>
        <v>-28696159.02</v>
      </c>
    </row>
    <row r="190" spans="1:6" hidden="1"/>
    <row r="191" spans="1:6" hidden="1">
      <c r="A191" s="454" t="s">
        <v>166</v>
      </c>
      <c r="B191" s="454" t="s">
        <v>958</v>
      </c>
      <c r="C191" s="454" t="s">
        <v>59</v>
      </c>
      <c r="D191" s="454" t="s">
        <v>974</v>
      </c>
      <c r="E191" s="454">
        <v>2272928.91</v>
      </c>
      <c r="F191" s="454">
        <v>2708267.49</v>
      </c>
    </row>
    <row r="192" spans="1:6" hidden="1">
      <c r="A192" s="454" t="s">
        <v>167</v>
      </c>
      <c r="B192" s="454" t="s">
        <v>958</v>
      </c>
      <c r="C192" s="454" t="s">
        <v>61</v>
      </c>
      <c r="D192" s="454" t="s">
        <v>974</v>
      </c>
      <c r="E192" s="454">
        <v>363117.5</v>
      </c>
      <c r="F192" s="454">
        <v>503264.06</v>
      </c>
    </row>
    <row r="193" spans="1:6" hidden="1">
      <c r="A193" s="454" t="s">
        <v>168</v>
      </c>
      <c r="B193" s="454" t="s">
        <v>958</v>
      </c>
      <c r="C193" s="454" t="s">
        <v>51</v>
      </c>
      <c r="D193" s="454" t="s">
        <v>974</v>
      </c>
      <c r="E193" s="454">
        <v>194551.28</v>
      </c>
      <c r="F193" s="454">
        <v>219410.78</v>
      </c>
    </row>
    <row r="194" spans="1:6" hidden="1">
      <c r="A194" s="454" t="s">
        <v>1783</v>
      </c>
      <c r="B194" s="454" t="s">
        <v>958</v>
      </c>
      <c r="C194" s="454" t="s">
        <v>890</v>
      </c>
      <c r="D194" s="454" t="s">
        <v>974</v>
      </c>
      <c r="E194" s="454">
        <v>1693.64</v>
      </c>
      <c r="F194" s="454">
        <v>585.39</v>
      </c>
    </row>
    <row r="195" spans="1:6" hidden="1">
      <c r="A195" s="454" t="s">
        <v>169</v>
      </c>
      <c r="B195" s="454" t="s">
        <v>958</v>
      </c>
      <c r="C195" s="454" t="s">
        <v>364</v>
      </c>
      <c r="D195" s="454" t="s">
        <v>974</v>
      </c>
      <c r="E195" s="454">
        <v>163706.31</v>
      </c>
      <c r="F195" s="454">
        <v>215431.63</v>
      </c>
    </row>
    <row r="196" spans="1:6" hidden="1">
      <c r="A196" s="454" t="s">
        <v>170</v>
      </c>
      <c r="B196" s="454" t="s">
        <v>958</v>
      </c>
      <c r="C196" s="454" t="s">
        <v>517</v>
      </c>
      <c r="D196" s="454" t="s">
        <v>974</v>
      </c>
      <c r="E196" s="454">
        <v>8691.2000000000007</v>
      </c>
      <c r="F196" s="454">
        <v>15442.48</v>
      </c>
    </row>
    <row r="197" spans="1:6" hidden="1">
      <c r="A197" s="454" t="s">
        <v>171</v>
      </c>
      <c r="B197" s="454" t="s">
        <v>958</v>
      </c>
      <c r="C197" s="454" t="s">
        <v>66</v>
      </c>
      <c r="D197" s="454" t="s">
        <v>974</v>
      </c>
      <c r="E197" s="454">
        <v>367900.64</v>
      </c>
      <c r="F197" s="454">
        <v>355838.17</v>
      </c>
    </row>
    <row r="198" spans="1:6" hidden="1">
      <c r="A198" s="454" t="s">
        <v>172</v>
      </c>
      <c r="B198" s="454" t="s">
        <v>958</v>
      </c>
      <c r="C198" s="454" t="s">
        <v>68</v>
      </c>
      <c r="D198" s="454" t="s">
        <v>974</v>
      </c>
      <c r="E198" s="454">
        <v>118160.92</v>
      </c>
      <c r="F198" s="454">
        <v>33552.550000000003</v>
      </c>
    </row>
    <row r="199" spans="1:6" hidden="1">
      <c r="A199" s="454" t="s">
        <v>173</v>
      </c>
      <c r="B199" s="454" t="s">
        <v>958</v>
      </c>
      <c r="C199" s="454" t="s">
        <v>394</v>
      </c>
      <c r="D199" s="454" t="s">
        <v>974</v>
      </c>
      <c r="E199" s="454">
        <v>93131.68</v>
      </c>
      <c r="F199" s="454">
        <v>189020.01</v>
      </c>
    </row>
    <row r="200" spans="1:6" hidden="1">
      <c r="A200" s="454" t="s">
        <v>174</v>
      </c>
      <c r="B200" s="454" t="s">
        <v>958</v>
      </c>
      <c r="C200" s="454" t="s">
        <v>394</v>
      </c>
      <c r="D200" s="454" t="s">
        <v>974</v>
      </c>
      <c r="E200" s="454">
        <v>386427.94</v>
      </c>
      <c r="F200" s="454">
        <v>560688.03</v>
      </c>
    </row>
    <row r="201" spans="1:6" hidden="1">
      <c r="A201" s="454" t="s">
        <v>175</v>
      </c>
      <c r="B201" s="454" t="s">
        <v>958</v>
      </c>
      <c r="C201" s="454" t="s">
        <v>394</v>
      </c>
      <c r="D201" s="454" t="s">
        <v>974</v>
      </c>
      <c r="E201" s="454">
        <v>17416.64</v>
      </c>
      <c r="F201" s="454">
        <v>24255.09</v>
      </c>
    </row>
    <row r="202" spans="1:6" hidden="1">
      <c r="A202" s="454" t="s">
        <v>176</v>
      </c>
      <c r="B202" s="454" t="s">
        <v>958</v>
      </c>
      <c r="C202" s="454" t="s">
        <v>394</v>
      </c>
      <c r="D202" s="454" t="s">
        <v>974</v>
      </c>
      <c r="E202" s="454">
        <v>19247.439999999999</v>
      </c>
      <c r="F202" s="454">
        <v>31218.84</v>
      </c>
    </row>
    <row r="203" spans="1:6" hidden="1">
      <c r="A203" s="454" t="s">
        <v>177</v>
      </c>
      <c r="B203" s="454" t="s">
        <v>958</v>
      </c>
      <c r="C203" s="454" t="s">
        <v>1114</v>
      </c>
      <c r="D203" s="454" t="s">
        <v>974</v>
      </c>
      <c r="E203" s="454">
        <v>808.23</v>
      </c>
      <c r="F203" s="454">
        <v>1118.26</v>
      </c>
    </row>
    <row r="204" spans="1:6" hidden="1">
      <c r="A204" s="454" t="s">
        <v>2413</v>
      </c>
      <c r="B204" s="454" t="s">
        <v>963</v>
      </c>
      <c r="C204" s="454" t="s">
        <v>396</v>
      </c>
      <c r="D204" s="454" t="s">
        <v>974</v>
      </c>
      <c r="E204" s="454">
        <v>58520.71</v>
      </c>
      <c r="F204" s="454">
        <f>1273775.51+2372465.94</f>
        <v>3646241.45</v>
      </c>
    </row>
    <row r="205" spans="1:6" hidden="1">
      <c r="A205" s="454" t="s">
        <v>2401</v>
      </c>
      <c r="B205" s="454" t="s">
        <v>15</v>
      </c>
      <c r="C205" s="454" t="s">
        <v>2443</v>
      </c>
      <c r="D205" s="454" t="s">
        <v>974</v>
      </c>
      <c r="E205" s="454">
        <v>31338.05</v>
      </c>
      <c r="F205" s="454">
        <f>19276.78-2749.64</f>
        <v>16527.14</v>
      </c>
    </row>
    <row r="206" spans="1:6">
      <c r="A206" s="454" t="s">
        <v>178</v>
      </c>
      <c r="B206" s="454" t="s">
        <v>960</v>
      </c>
      <c r="C206" s="454" t="s">
        <v>396</v>
      </c>
      <c r="D206" s="454" t="s">
        <v>974</v>
      </c>
      <c r="E206" s="454">
        <v>243139.08</v>
      </c>
      <c r="F206" s="454">
        <f>3152600.58-34747.98+2298881</f>
        <v>5416733.5999999996</v>
      </c>
    </row>
    <row r="207" spans="1:6" hidden="1">
      <c r="A207" s="454" t="s">
        <v>179</v>
      </c>
      <c r="B207" s="454" t="s">
        <v>961</v>
      </c>
      <c r="C207" s="454" t="s">
        <v>1305</v>
      </c>
      <c r="D207" s="454" t="s">
        <v>974</v>
      </c>
      <c r="E207" s="454">
        <v>3411.66</v>
      </c>
      <c r="F207" s="454">
        <v>958.92</v>
      </c>
    </row>
    <row r="208" spans="1:6" hidden="1">
      <c r="A208" s="454" t="s">
        <v>180</v>
      </c>
      <c r="B208" s="454" t="s">
        <v>962</v>
      </c>
      <c r="C208" s="454" t="s">
        <v>181</v>
      </c>
      <c r="D208" s="454" t="s">
        <v>974</v>
      </c>
      <c r="E208" s="454">
        <v>1436790.58</v>
      </c>
      <c r="F208" s="454">
        <v>401024.75</v>
      </c>
    </row>
    <row r="209" spans="1:6" hidden="1">
      <c r="A209" s="454" t="s">
        <v>182</v>
      </c>
      <c r="B209" s="454" t="s">
        <v>962</v>
      </c>
      <c r="C209" s="454" t="s">
        <v>401</v>
      </c>
      <c r="D209" s="454" t="s">
        <v>974</v>
      </c>
      <c r="E209" s="454">
        <v>728360.41</v>
      </c>
      <c r="F209" s="454">
        <f>1413966.36-74.4</f>
        <v>1413891.9600000002</v>
      </c>
    </row>
    <row r="210" spans="1:6" hidden="1">
      <c r="A210" s="454" t="s">
        <v>183</v>
      </c>
      <c r="B210" s="454" t="s">
        <v>962</v>
      </c>
      <c r="C210" s="454" t="s">
        <v>1323</v>
      </c>
      <c r="D210" s="454" t="s">
        <v>974</v>
      </c>
      <c r="E210" s="454">
        <v>355338.47</v>
      </c>
      <c r="F210" s="454">
        <v>226464.78</v>
      </c>
    </row>
    <row r="211" spans="1:6" hidden="1">
      <c r="A211" s="454" t="s">
        <v>184</v>
      </c>
      <c r="B211" s="454" t="s">
        <v>962</v>
      </c>
      <c r="C211" s="454" t="s">
        <v>412</v>
      </c>
      <c r="D211" s="454" t="s">
        <v>974</v>
      </c>
      <c r="E211" s="454">
        <v>24569.34</v>
      </c>
    </row>
    <row r="212" spans="1:6" hidden="1">
      <c r="A212" s="454" t="s">
        <v>185</v>
      </c>
      <c r="B212" s="454" t="s">
        <v>962</v>
      </c>
      <c r="C212" s="454" t="s">
        <v>79</v>
      </c>
      <c r="D212" s="454" t="s">
        <v>974</v>
      </c>
      <c r="E212" s="454">
        <v>104024.89</v>
      </c>
      <c r="F212" s="454">
        <v>0</v>
      </c>
    </row>
    <row r="213" spans="1:6" hidden="1">
      <c r="A213" s="454" t="s">
        <v>186</v>
      </c>
      <c r="B213" s="454" t="s">
        <v>962</v>
      </c>
      <c r="C213" s="454" t="s">
        <v>1303</v>
      </c>
      <c r="D213" s="454" t="s">
        <v>974</v>
      </c>
      <c r="E213" s="454">
        <v>266024.94</v>
      </c>
      <c r="F213" s="454">
        <v>161016.1</v>
      </c>
    </row>
    <row r="214" spans="1:6" hidden="1">
      <c r="A214" s="454" t="s">
        <v>187</v>
      </c>
      <c r="B214" s="454" t="s">
        <v>15</v>
      </c>
      <c r="C214" s="454" t="s">
        <v>1066</v>
      </c>
      <c r="D214" s="454" t="s">
        <v>974</v>
      </c>
      <c r="E214" s="454">
        <v>0</v>
      </c>
    </row>
    <row r="215" spans="1:6" hidden="1">
      <c r="A215" s="454" t="s">
        <v>188</v>
      </c>
      <c r="B215" s="454" t="s">
        <v>962</v>
      </c>
      <c r="C215" s="454" t="s">
        <v>430</v>
      </c>
      <c r="D215" s="454" t="s">
        <v>974</v>
      </c>
      <c r="E215" s="454">
        <v>92644.67</v>
      </c>
      <c r="F215" s="454">
        <f>141517.29-12079.48</f>
        <v>129437.81000000001</v>
      </c>
    </row>
    <row r="216" spans="1:6" hidden="1">
      <c r="A216" s="454" t="s">
        <v>189</v>
      </c>
      <c r="B216" s="454" t="s">
        <v>962</v>
      </c>
      <c r="C216" s="454" t="s">
        <v>432</v>
      </c>
      <c r="D216" s="454" t="s">
        <v>974</v>
      </c>
      <c r="E216" s="454">
        <v>195454.9</v>
      </c>
      <c r="F216" s="454">
        <v>169132.79</v>
      </c>
    </row>
    <row r="217" spans="1:6" hidden="1">
      <c r="A217" s="454" t="s">
        <v>190</v>
      </c>
      <c r="B217" s="454" t="s">
        <v>962</v>
      </c>
      <c r="C217" s="454" t="s">
        <v>191</v>
      </c>
      <c r="D217" s="454" t="s">
        <v>974</v>
      </c>
      <c r="E217" s="454">
        <v>2460</v>
      </c>
      <c r="F217" s="454">
        <v>4289.3900000000003</v>
      </c>
    </row>
    <row r="218" spans="1:6" hidden="1">
      <c r="A218" s="454" t="s">
        <v>194</v>
      </c>
      <c r="B218" s="454" t="s">
        <v>962</v>
      </c>
      <c r="C218" s="454" t="s">
        <v>1304</v>
      </c>
      <c r="D218" s="454" t="s">
        <v>974</v>
      </c>
      <c r="E218" s="454">
        <v>14956.5</v>
      </c>
    </row>
    <row r="219" spans="1:6" hidden="1">
      <c r="A219" s="454" t="s">
        <v>195</v>
      </c>
      <c r="B219" s="454" t="s">
        <v>962</v>
      </c>
      <c r="C219" s="454" t="s">
        <v>41</v>
      </c>
      <c r="D219" s="454" t="s">
        <v>974</v>
      </c>
      <c r="E219" s="454">
        <v>302144.07</v>
      </c>
      <c r="F219" s="454">
        <v>283775.28999999998</v>
      </c>
    </row>
    <row r="220" spans="1:6" hidden="1">
      <c r="A220" s="454" t="s">
        <v>196</v>
      </c>
      <c r="B220" s="454" t="s">
        <v>962</v>
      </c>
      <c r="C220" s="454" t="s">
        <v>43</v>
      </c>
      <c r="D220" s="454" t="s">
        <v>974</v>
      </c>
      <c r="E220" s="454">
        <v>2213.64</v>
      </c>
      <c r="F220" s="454">
        <v>1996.86</v>
      </c>
    </row>
    <row r="221" spans="1:6" hidden="1">
      <c r="A221" s="454" t="s">
        <v>198</v>
      </c>
      <c r="B221" s="454" t="s">
        <v>962</v>
      </c>
      <c r="C221" s="454" t="s">
        <v>114</v>
      </c>
      <c r="D221" s="454" t="s">
        <v>974</v>
      </c>
      <c r="F221" s="454">
        <v>4763.3</v>
      </c>
    </row>
    <row r="222" spans="1:6" hidden="1">
      <c r="A222" s="454" t="s">
        <v>197</v>
      </c>
      <c r="B222" s="454" t="s">
        <v>962</v>
      </c>
      <c r="C222" s="454" t="s">
        <v>43</v>
      </c>
      <c r="D222" s="454" t="s">
        <v>974</v>
      </c>
      <c r="E222" s="454">
        <v>19603.02</v>
      </c>
      <c r="F222" s="454">
        <v>37980.01</v>
      </c>
    </row>
    <row r="223" spans="1:6" hidden="1">
      <c r="A223" s="454" t="s">
        <v>1513</v>
      </c>
      <c r="B223" s="454" t="s">
        <v>962</v>
      </c>
      <c r="C223" s="454" t="s">
        <v>2513</v>
      </c>
      <c r="D223" s="454" t="s">
        <v>974</v>
      </c>
      <c r="E223" s="454">
        <v>2750000</v>
      </c>
      <c r="F223" s="454">
        <v>3000000</v>
      </c>
    </row>
    <row r="224" spans="1:6" hidden="1">
      <c r="A224" s="454" t="s">
        <v>2891</v>
      </c>
      <c r="C224" s="454" t="s">
        <v>2892</v>
      </c>
      <c r="F224" s="454">
        <v>503815.92</v>
      </c>
    </row>
    <row r="225" spans="1:7" hidden="1">
      <c r="A225" s="454" t="s">
        <v>1484</v>
      </c>
      <c r="B225" s="454" t="s">
        <v>962</v>
      </c>
      <c r="C225" s="454" t="s">
        <v>2514</v>
      </c>
      <c r="D225" s="454" t="s">
        <v>974</v>
      </c>
      <c r="E225" s="454">
        <v>1432846.15</v>
      </c>
      <c r="F225" s="454">
        <v>1698694.46</v>
      </c>
    </row>
    <row r="226" spans="1:7" hidden="1">
      <c r="A226" s="454" t="s">
        <v>1485</v>
      </c>
      <c r="B226" s="454" t="s">
        <v>962</v>
      </c>
      <c r="C226" s="454" t="s">
        <v>2515</v>
      </c>
      <c r="D226" s="454" t="s">
        <v>974</v>
      </c>
      <c r="E226" s="454">
        <v>166191.37</v>
      </c>
      <c r="F226" s="454">
        <v>136171.25</v>
      </c>
    </row>
    <row r="227" spans="1:7" hidden="1">
      <c r="C227" s="454" t="s">
        <v>2898</v>
      </c>
      <c r="F227" s="454">
        <f>399864+189171.14-51407.47</f>
        <v>537627.67000000004</v>
      </c>
    </row>
    <row r="228" spans="1:7" hidden="1">
      <c r="A228" s="454" t="s">
        <v>200</v>
      </c>
      <c r="B228" s="454" t="s">
        <v>962</v>
      </c>
      <c r="C228" s="454" t="s">
        <v>396</v>
      </c>
      <c r="D228" s="454" t="s">
        <v>974</v>
      </c>
      <c r="E228" s="454">
        <v>1634831.65</v>
      </c>
      <c r="F228" s="454">
        <v>0</v>
      </c>
    </row>
    <row r="229" spans="1:7" hidden="1">
      <c r="A229" s="454" t="s">
        <v>201</v>
      </c>
      <c r="B229" s="454" t="s">
        <v>962</v>
      </c>
      <c r="C229" s="454" t="s">
        <v>396</v>
      </c>
      <c r="D229" s="454" t="s">
        <v>974</v>
      </c>
      <c r="E229" s="454">
        <v>258065.09</v>
      </c>
      <c r="F229" s="454">
        <f>164865</f>
        <v>164865</v>
      </c>
    </row>
    <row r="230" spans="1:7" hidden="1">
      <c r="A230" s="454" t="s">
        <v>1734</v>
      </c>
      <c r="D230" s="454" t="s">
        <v>974</v>
      </c>
      <c r="E230" s="454">
        <f>37670.76+374648.14</f>
        <v>412318.9</v>
      </c>
      <c r="F230" s="454">
        <v>419890.57</v>
      </c>
    </row>
    <row r="231" spans="1:7" ht="14.25" hidden="1" thickTop="1" thickBot="1">
      <c r="A231" s="850" t="s">
        <v>1464</v>
      </c>
      <c r="B231" s="455"/>
      <c r="C231" s="455"/>
      <c r="D231" s="851"/>
      <c r="E231" s="854">
        <f>SUM(E191:E230)</f>
        <v>14543030.42</v>
      </c>
      <c r="F231" s="854">
        <f>SUM(F191:F230)</f>
        <v>23233391.800000004</v>
      </c>
      <c r="G231" s="454">
        <f>F189+F231</f>
        <v>-5462767.2199999951</v>
      </c>
    </row>
    <row r="232" spans="1:7" hidden="1"/>
    <row r="233" spans="1:7" hidden="1">
      <c r="A233" s="454" t="s">
        <v>202</v>
      </c>
      <c r="B233" s="454" t="s">
        <v>958</v>
      </c>
      <c r="C233" s="454" t="s">
        <v>59</v>
      </c>
      <c r="D233" s="454" t="s">
        <v>1124</v>
      </c>
      <c r="E233" s="454">
        <v>61563.79</v>
      </c>
      <c r="F233" s="454">
        <v>71771.06</v>
      </c>
    </row>
    <row r="234" spans="1:7" hidden="1">
      <c r="A234" s="454" t="s">
        <v>203</v>
      </c>
      <c r="B234" s="454" t="s">
        <v>958</v>
      </c>
      <c r="C234" s="454" t="s">
        <v>61</v>
      </c>
      <c r="D234" s="454" t="s">
        <v>1124</v>
      </c>
      <c r="E234" s="454">
        <v>37416.22</v>
      </c>
      <c r="F234" s="454">
        <v>55602.66</v>
      </c>
    </row>
    <row r="235" spans="1:7" hidden="1">
      <c r="A235" s="454" t="s">
        <v>204</v>
      </c>
      <c r="B235" s="454" t="s">
        <v>958</v>
      </c>
      <c r="C235" s="454" t="s">
        <v>51</v>
      </c>
      <c r="D235" s="454" t="s">
        <v>1124</v>
      </c>
      <c r="E235" s="454">
        <v>5011.25</v>
      </c>
      <c r="F235" s="454">
        <v>5854.24</v>
      </c>
    </row>
    <row r="236" spans="1:7" hidden="1">
      <c r="A236" s="454" t="s">
        <v>1486</v>
      </c>
      <c r="B236" s="454" t="s">
        <v>958</v>
      </c>
      <c r="C236" s="454" t="s">
        <v>1889</v>
      </c>
      <c r="D236" s="454" t="s">
        <v>1124</v>
      </c>
      <c r="E236" s="454">
        <v>17142.38</v>
      </c>
      <c r="F236" s="454">
        <v>17444.490000000002</v>
      </c>
    </row>
    <row r="237" spans="1:7" hidden="1">
      <c r="A237" s="454" t="s">
        <v>205</v>
      </c>
      <c r="B237" s="454" t="s">
        <v>958</v>
      </c>
      <c r="C237" s="454" t="s">
        <v>394</v>
      </c>
      <c r="D237" s="454" t="s">
        <v>1124</v>
      </c>
      <c r="E237" s="454">
        <v>9820.4500000000007</v>
      </c>
      <c r="F237" s="454">
        <v>11947.86</v>
      </c>
    </row>
    <row r="238" spans="1:7" hidden="1">
      <c r="A238" s="454" t="s">
        <v>206</v>
      </c>
      <c r="B238" s="454" t="s">
        <v>958</v>
      </c>
      <c r="C238" s="454" t="s">
        <v>394</v>
      </c>
      <c r="D238" s="454" t="s">
        <v>1124</v>
      </c>
      <c r="E238" s="454">
        <v>1122.1300000000001</v>
      </c>
      <c r="F238" s="454">
        <v>1192.95</v>
      </c>
    </row>
    <row r="239" spans="1:7" hidden="1">
      <c r="A239" s="454" t="s">
        <v>207</v>
      </c>
      <c r="B239" s="454" t="s">
        <v>958</v>
      </c>
      <c r="C239" s="454" t="s">
        <v>394</v>
      </c>
      <c r="D239" s="454" t="s">
        <v>1124</v>
      </c>
      <c r="E239" s="454">
        <v>532.27</v>
      </c>
    </row>
    <row r="240" spans="1:7" hidden="1">
      <c r="A240" s="454" t="s">
        <v>208</v>
      </c>
      <c r="B240" s="454" t="s">
        <v>958</v>
      </c>
      <c r="C240" s="454" t="s">
        <v>1114</v>
      </c>
      <c r="D240" s="454" t="s">
        <v>1124</v>
      </c>
      <c r="E240" s="454">
        <v>32.58</v>
      </c>
      <c r="F240" s="454">
        <v>38.020000000000003</v>
      </c>
    </row>
    <row r="241" spans="1:6" hidden="1">
      <c r="A241" s="454" t="s">
        <v>209</v>
      </c>
      <c r="B241" s="454" t="s">
        <v>962</v>
      </c>
      <c r="C241" s="454" t="s">
        <v>1303</v>
      </c>
      <c r="D241" s="454" t="s">
        <v>1124</v>
      </c>
      <c r="F241" s="454">
        <v>2492.98</v>
      </c>
    </row>
    <row r="242" spans="1:6" hidden="1">
      <c r="A242" s="454" t="s">
        <v>2394</v>
      </c>
      <c r="B242" s="454" t="s">
        <v>962</v>
      </c>
      <c r="C242" s="454" t="s">
        <v>2530</v>
      </c>
      <c r="D242" s="454" t="s">
        <v>1124</v>
      </c>
      <c r="F242" s="454">
        <v>260</v>
      </c>
    </row>
    <row r="243" spans="1:6" hidden="1"/>
    <row r="244" spans="1:6" hidden="1"/>
    <row r="245" spans="1:6" ht="14.25" hidden="1" thickTop="1" thickBot="1">
      <c r="A245" s="850" t="s">
        <v>1464</v>
      </c>
      <c r="B245" s="455"/>
      <c r="C245" s="455"/>
      <c r="D245" s="851"/>
      <c r="E245" s="854">
        <f>SUM(E233:E240)</f>
        <v>132641.06999999998</v>
      </c>
      <c r="F245" s="854">
        <f>SUM(F233:F242)</f>
        <v>166604.26</v>
      </c>
    </row>
    <row r="246" spans="1:6" hidden="1"/>
    <row r="247" spans="1:6" hidden="1">
      <c r="A247" s="454" t="s">
        <v>1487</v>
      </c>
      <c r="B247" s="454" t="s">
        <v>22</v>
      </c>
      <c r="C247" s="454" t="s">
        <v>633</v>
      </c>
      <c r="D247" s="454" t="s">
        <v>975</v>
      </c>
      <c r="E247" s="454">
        <v>-735000</v>
      </c>
      <c r="F247" s="454">
        <v>-750000</v>
      </c>
    </row>
    <row r="248" spans="1:6" ht="14.25" hidden="1" thickTop="1" thickBot="1">
      <c r="A248" s="850" t="s">
        <v>1464</v>
      </c>
      <c r="B248" s="455"/>
      <c r="C248" s="455"/>
      <c r="D248" s="851"/>
      <c r="E248" s="854">
        <f>SUM(E247:E247)</f>
        <v>-735000</v>
      </c>
      <c r="F248" s="854">
        <f>SUM(F247:F247)</f>
        <v>-750000</v>
      </c>
    </row>
    <row r="249" spans="1:6" hidden="1"/>
    <row r="250" spans="1:6" hidden="1">
      <c r="A250" s="454" t="s">
        <v>210</v>
      </c>
      <c r="B250" s="454" t="s">
        <v>958</v>
      </c>
      <c r="C250" s="454" t="s">
        <v>59</v>
      </c>
      <c r="D250" s="454" t="s">
        <v>975</v>
      </c>
      <c r="E250" s="454">
        <v>172413.24</v>
      </c>
      <c r="F250" s="454">
        <v>187382.12</v>
      </c>
    </row>
    <row r="251" spans="1:6" hidden="1">
      <c r="A251" s="454" t="s">
        <v>211</v>
      </c>
      <c r="B251" s="454" t="s">
        <v>958</v>
      </c>
      <c r="C251" s="454" t="s">
        <v>61</v>
      </c>
      <c r="D251" s="454" t="s">
        <v>975</v>
      </c>
      <c r="F251" s="454">
        <v>10637.9</v>
      </c>
    </row>
    <row r="252" spans="1:6" hidden="1">
      <c r="A252" s="454" t="s">
        <v>212</v>
      </c>
      <c r="B252" s="454" t="s">
        <v>958</v>
      </c>
      <c r="C252" s="454" t="s">
        <v>51</v>
      </c>
      <c r="D252" s="454" t="s">
        <v>975</v>
      </c>
      <c r="E252" s="454">
        <v>14049.9</v>
      </c>
      <c r="F252" s="454">
        <v>15586.17</v>
      </c>
    </row>
    <row r="253" spans="1:6" hidden="1">
      <c r="A253" s="454" t="s">
        <v>214</v>
      </c>
      <c r="B253" s="454" t="s">
        <v>958</v>
      </c>
      <c r="C253" s="454" t="s">
        <v>66</v>
      </c>
      <c r="D253" s="454" t="s">
        <v>975</v>
      </c>
      <c r="E253" s="454">
        <v>47668.06</v>
      </c>
      <c r="F253" s="454">
        <v>48403.93</v>
      </c>
    </row>
    <row r="254" spans="1:6" hidden="1">
      <c r="A254" s="454" t="s">
        <v>215</v>
      </c>
      <c r="B254" s="454" t="s">
        <v>958</v>
      </c>
      <c r="C254" s="454" t="s">
        <v>385</v>
      </c>
      <c r="D254" s="454" t="s">
        <v>975</v>
      </c>
      <c r="E254" s="454">
        <v>10929.6</v>
      </c>
      <c r="F254" s="454">
        <v>12196.8</v>
      </c>
    </row>
    <row r="255" spans="1:6" hidden="1">
      <c r="A255" s="454" t="s">
        <v>216</v>
      </c>
      <c r="B255" s="454" t="s">
        <v>958</v>
      </c>
      <c r="C255" s="454" t="s">
        <v>385</v>
      </c>
      <c r="D255" s="454" t="s">
        <v>975</v>
      </c>
      <c r="E255" s="454">
        <v>37091.75</v>
      </c>
      <c r="F255" s="454">
        <v>41224.1</v>
      </c>
    </row>
    <row r="256" spans="1:6" hidden="1">
      <c r="A256" s="454" t="s">
        <v>217</v>
      </c>
      <c r="B256" s="454" t="s">
        <v>958</v>
      </c>
      <c r="C256" s="454" t="s">
        <v>385</v>
      </c>
      <c r="D256" s="454" t="s">
        <v>975</v>
      </c>
      <c r="E256" s="454">
        <v>1497.36</v>
      </c>
      <c r="F256" s="454">
        <v>1497.36</v>
      </c>
    </row>
    <row r="257" spans="1:7" hidden="1">
      <c r="A257" s="454" t="s">
        <v>218</v>
      </c>
      <c r="B257" s="454" t="s">
        <v>958</v>
      </c>
      <c r="C257" s="454" t="s">
        <v>385</v>
      </c>
      <c r="D257" s="454" t="s">
        <v>975</v>
      </c>
      <c r="E257" s="454">
        <v>2542.4299999999998</v>
      </c>
      <c r="F257" s="454">
        <v>2842.92</v>
      </c>
    </row>
    <row r="258" spans="1:7" hidden="1">
      <c r="A258" s="454" t="s">
        <v>734</v>
      </c>
      <c r="B258" s="454" t="s">
        <v>958</v>
      </c>
      <c r="C258" s="454" t="s">
        <v>1114</v>
      </c>
      <c r="D258" s="454" t="s">
        <v>975</v>
      </c>
      <c r="E258" s="454">
        <v>45</v>
      </c>
      <c r="F258" s="454">
        <v>49.2</v>
      </c>
    </row>
    <row r="259" spans="1:7">
      <c r="A259" s="454" t="s">
        <v>735</v>
      </c>
      <c r="B259" s="454" t="s">
        <v>960</v>
      </c>
      <c r="C259" s="454" t="s">
        <v>396</v>
      </c>
      <c r="D259" s="454" t="s">
        <v>975</v>
      </c>
      <c r="E259" s="454">
        <v>1273518.8999999999</v>
      </c>
      <c r="F259" s="454">
        <f>28700+6047.98</f>
        <v>34747.979999999996</v>
      </c>
    </row>
    <row r="260" spans="1:7" hidden="1">
      <c r="A260" s="454" t="s">
        <v>736</v>
      </c>
      <c r="B260" s="454" t="s">
        <v>961</v>
      </c>
      <c r="C260" s="454" t="s">
        <v>737</v>
      </c>
      <c r="D260" s="454" t="s">
        <v>975</v>
      </c>
      <c r="E260" s="454">
        <v>14385.51</v>
      </c>
      <c r="F260" s="454">
        <v>7620</v>
      </c>
    </row>
    <row r="261" spans="1:7" hidden="1">
      <c r="A261" s="454" t="s">
        <v>738</v>
      </c>
      <c r="B261" s="454" t="s">
        <v>962</v>
      </c>
      <c r="C261" s="454" t="s">
        <v>412</v>
      </c>
      <c r="D261" s="454" t="s">
        <v>975</v>
      </c>
      <c r="E261" s="454">
        <v>166</v>
      </c>
    </row>
    <row r="262" spans="1:7" hidden="1">
      <c r="A262" s="454" t="s">
        <v>739</v>
      </c>
      <c r="B262" s="454" t="s">
        <v>962</v>
      </c>
      <c r="C262" s="454" t="s">
        <v>79</v>
      </c>
      <c r="D262" s="454" t="s">
        <v>975</v>
      </c>
      <c r="E262" s="454">
        <v>443424.65</v>
      </c>
      <c r="F262" s="454">
        <v>402440.01</v>
      </c>
    </row>
    <row r="263" spans="1:7" hidden="1">
      <c r="A263" s="454" t="s">
        <v>740</v>
      </c>
      <c r="B263" s="454" t="s">
        <v>962</v>
      </c>
      <c r="C263" s="454" t="s">
        <v>138</v>
      </c>
      <c r="D263" s="454" t="s">
        <v>975</v>
      </c>
      <c r="E263" s="454">
        <v>94581.62</v>
      </c>
      <c r="F263" s="454">
        <v>267989.78000000003</v>
      </c>
    </row>
    <row r="264" spans="1:7" hidden="1">
      <c r="A264" s="454" t="s">
        <v>741</v>
      </c>
      <c r="B264" s="454" t="s">
        <v>962</v>
      </c>
      <c r="C264" s="454" t="s">
        <v>742</v>
      </c>
      <c r="D264" s="454" t="s">
        <v>975</v>
      </c>
      <c r="E264" s="454">
        <v>268532.88</v>
      </c>
      <c r="F264" s="454">
        <f>141806.36-14060.6-9272.56</f>
        <v>118473.19999999998</v>
      </c>
    </row>
    <row r="265" spans="1:7" hidden="1">
      <c r="A265" s="454" t="s">
        <v>745</v>
      </c>
      <c r="B265" s="454" t="s">
        <v>962</v>
      </c>
      <c r="C265" s="454" t="s">
        <v>41</v>
      </c>
      <c r="D265" s="454" t="s">
        <v>975</v>
      </c>
      <c r="E265" s="454">
        <v>1195.33</v>
      </c>
      <c r="F265" s="454">
        <v>11874.75</v>
      </c>
    </row>
    <row r="266" spans="1:7" hidden="1">
      <c r="A266" s="454" t="s">
        <v>1891</v>
      </c>
      <c r="B266" s="454" t="s">
        <v>962</v>
      </c>
      <c r="C266" s="454" t="s">
        <v>2516</v>
      </c>
      <c r="D266" s="454" t="s">
        <v>975</v>
      </c>
      <c r="F266" s="454">
        <v>1215.8499999999999</v>
      </c>
    </row>
    <row r="267" spans="1:7" hidden="1">
      <c r="A267" s="454" t="s">
        <v>1488</v>
      </c>
      <c r="B267" s="454" t="s">
        <v>962</v>
      </c>
      <c r="C267" s="454" t="s">
        <v>1912</v>
      </c>
      <c r="D267" s="454" t="s">
        <v>975</v>
      </c>
      <c r="E267" s="454">
        <v>20386.37</v>
      </c>
    </row>
    <row r="268" spans="1:7" hidden="1">
      <c r="A268" s="454" t="s">
        <v>1489</v>
      </c>
      <c r="B268" s="454" t="s">
        <v>962</v>
      </c>
      <c r="C268" s="454" t="s">
        <v>22</v>
      </c>
      <c r="D268" s="454" t="s">
        <v>975</v>
      </c>
      <c r="E268" s="454">
        <v>735000</v>
      </c>
      <c r="F268" s="454">
        <v>750000</v>
      </c>
    </row>
    <row r="269" spans="1:7" hidden="1">
      <c r="A269" s="454" t="s">
        <v>747</v>
      </c>
      <c r="B269" s="454" t="s">
        <v>962</v>
      </c>
      <c r="C269" s="454" t="s">
        <v>748</v>
      </c>
      <c r="D269" s="454" t="s">
        <v>975</v>
      </c>
      <c r="E269" s="454">
        <v>0</v>
      </c>
    </row>
    <row r="270" spans="1:7" ht="14.25" hidden="1" thickTop="1" thickBot="1">
      <c r="A270" s="850" t="s">
        <v>1464</v>
      </c>
      <c r="B270" s="455"/>
      <c r="C270" s="455"/>
      <c r="D270" s="851"/>
      <c r="E270" s="854">
        <f>SUM(E250:E269)</f>
        <v>3137428.6</v>
      </c>
      <c r="F270" s="854">
        <f>SUM(F250:F269)</f>
        <v>1914182.07</v>
      </c>
      <c r="G270" s="454">
        <f>F270+F248</f>
        <v>1164182.07</v>
      </c>
    </row>
    <row r="271" spans="1:7" hidden="1"/>
    <row r="272" spans="1:7">
      <c r="A272" s="454" t="s">
        <v>843</v>
      </c>
      <c r="B272" s="454" t="s">
        <v>960</v>
      </c>
      <c r="C272" s="454" t="s">
        <v>396</v>
      </c>
      <c r="D272" s="454" t="s">
        <v>778</v>
      </c>
      <c r="E272" s="454">
        <v>16239.04</v>
      </c>
    </row>
    <row r="273" spans="1:6" hidden="1">
      <c r="A273" s="454" t="s">
        <v>844</v>
      </c>
      <c r="B273" s="454" t="s">
        <v>962</v>
      </c>
      <c r="C273" s="454" t="s">
        <v>845</v>
      </c>
      <c r="D273" s="454" t="s">
        <v>778</v>
      </c>
      <c r="E273" s="454">
        <v>4640.01</v>
      </c>
    </row>
    <row r="274" spans="1:6" hidden="1">
      <c r="A274" s="454" t="s">
        <v>847</v>
      </c>
      <c r="B274" s="454" t="s">
        <v>962</v>
      </c>
      <c r="C274" s="454" t="s">
        <v>848</v>
      </c>
      <c r="D274" s="454" t="s">
        <v>778</v>
      </c>
      <c r="E274" s="454">
        <v>750</v>
      </c>
    </row>
    <row r="275" spans="1:6" hidden="1">
      <c r="A275" s="454" t="s">
        <v>850</v>
      </c>
      <c r="B275" s="454" t="s">
        <v>962</v>
      </c>
      <c r="C275" s="454" t="s">
        <v>52</v>
      </c>
      <c r="D275" s="454" t="s">
        <v>778</v>
      </c>
      <c r="E275" s="454">
        <v>3325</v>
      </c>
    </row>
    <row r="276" spans="1:6" ht="14.25" hidden="1" thickTop="1" thickBot="1">
      <c r="A276" s="850" t="s">
        <v>1464</v>
      </c>
      <c r="B276" s="455"/>
      <c r="C276" s="455"/>
      <c r="D276" s="851"/>
      <c r="E276" s="854">
        <f>SUM(E272:E275)</f>
        <v>24954.050000000003</v>
      </c>
      <c r="F276" s="854">
        <f>SUM(F272:F275)</f>
        <v>0</v>
      </c>
    </row>
    <row r="277" spans="1:6" hidden="1"/>
    <row r="278" spans="1:6" hidden="1">
      <c r="A278" s="454" t="s">
        <v>852</v>
      </c>
      <c r="B278" s="454" t="s">
        <v>761</v>
      </c>
      <c r="C278" s="454" t="s">
        <v>742</v>
      </c>
      <c r="D278" s="454" t="s">
        <v>976</v>
      </c>
      <c r="E278" s="454">
        <v>0</v>
      </c>
    </row>
    <row r="279" spans="1:6" ht="14.25" hidden="1" thickTop="1" thickBot="1">
      <c r="A279" s="850" t="s">
        <v>1464</v>
      </c>
      <c r="B279" s="455"/>
      <c r="C279" s="455"/>
      <c r="D279" s="851"/>
      <c r="E279" s="854">
        <f>SUM(E278:E278)</f>
        <v>0</v>
      </c>
      <c r="F279" s="854">
        <f>SUM(F278:F278)</f>
        <v>0</v>
      </c>
    </row>
    <row r="280" spans="1:6" hidden="1"/>
    <row r="281" spans="1:6" hidden="1">
      <c r="A281" s="454" t="s">
        <v>853</v>
      </c>
      <c r="B281" s="454" t="s">
        <v>958</v>
      </c>
      <c r="C281" s="454" t="s">
        <v>59</v>
      </c>
      <c r="D281" s="454" t="s">
        <v>976</v>
      </c>
      <c r="E281" s="454">
        <v>1544001.96</v>
      </c>
      <c r="F281" s="454">
        <v>1563281.1</v>
      </c>
    </row>
    <row r="282" spans="1:6" hidden="1">
      <c r="A282" s="454" t="s">
        <v>854</v>
      </c>
      <c r="B282" s="454" t="s">
        <v>958</v>
      </c>
      <c r="C282" s="454" t="s">
        <v>61</v>
      </c>
      <c r="D282" s="454" t="s">
        <v>976</v>
      </c>
      <c r="E282" s="454">
        <v>360589.21</v>
      </c>
      <c r="F282" s="454">
        <v>331858.09999999998</v>
      </c>
    </row>
    <row r="283" spans="1:6" hidden="1">
      <c r="A283" s="454" t="s">
        <v>855</v>
      </c>
      <c r="B283" s="454" t="s">
        <v>958</v>
      </c>
      <c r="C283" s="454" t="s">
        <v>51</v>
      </c>
      <c r="D283" s="454" t="s">
        <v>976</v>
      </c>
      <c r="E283" s="454">
        <v>132661.6</v>
      </c>
      <c r="F283" s="454">
        <v>132643.49</v>
      </c>
    </row>
    <row r="284" spans="1:6" hidden="1">
      <c r="A284" s="454" t="s">
        <v>856</v>
      </c>
      <c r="B284" s="454" t="s">
        <v>958</v>
      </c>
      <c r="C284" s="454" t="s">
        <v>364</v>
      </c>
      <c r="D284" s="454" t="s">
        <v>976</v>
      </c>
      <c r="E284" s="454">
        <v>13621.57</v>
      </c>
      <c r="F284" s="454">
        <v>17340</v>
      </c>
    </row>
    <row r="285" spans="1:6" hidden="1">
      <c r="A285" s="454" t="s">
        <v>1785</v>
      </c>
      <c r="B285" s="454" t="s">
        <v>958</v>
      </c>
      <c r="D285" s="454" t="s">
        <v>976</v>
      </c>
      <c r="E285" s="454">
        <v>1260.8</v>
      </c>
    </row>
    <row r="286" spans="1:6" hidden="1">
      <c r="A286" s="454" t="s">
        <v>859</v>
      </c>
      <c r="B286" s="454" t="s">
        <v>958</v>
      </c>
      <c r="C286" s="454" t="s">
        <v>394</v>
      </c>
      <c r="D286" s="454" t="s">
        <v>976</v>
      </c>
      <c r="E286" s="454">
        <v>339329.58</v>
      </c>
      <c r="F286" s="454">
        <v>333148.89</v>
      </c>
    </row>
    <row r="287" spans="1:6" hidden="1">
      <c r="A287" s="454" t="s">
        <v>860</v>
      </c>
      <c r="B287" s="454" t="s">
        <v>958</v>
      </c>
      <c r="C287" s="454" t="s">
        <v>394</v>
      </c>
      <c r="D287" s="454" t="s">
        <v>976</v>
      </c>
      <c r="E287" s="454">
        <v>20180.32</v>
      </c>
      <c r="F287" s="454">
        <v>20279.57</v>
      </c>
    </row>
    <row r="288" spans="1:6" hidden="1">
      <c r="A288" s="454" t="s">
        <v>861</v>
      </c>
      <c r="B288" s="454" t="s">
        <v>958</v>
      </c>
      <c r="C288" s="454" t="s">
        <v>385</v>
      </c>
      <c r="D288" s="454" t="s">
        <v>976</v>
      </c>
      <c r="E288" s="454">
        <v>7212.02</v>
      </c>
      <c r="F288" s="454">
        <v>5408.79</v>
      </c>
    </row>
    <row r="289" spans="1:6" hidden="1">
      <c r="A289" s="454" t="s">
        <v>862</v>
      </c>
      <c r="B289" s="454" t="s">
        <v>958</v>
      </c>
      <c r="C289" s="454" t="s">
        <v>1114</v>
      </c>
      <c r="D289" s="454" t="s">
        <v>976</v>
      </c>
      <c r="E289" s="454">
        <v>1421.25</v>
      </c>
      <c r="F289" s="454">
        <v>1439.1</v>
      </c>
    </row>
    <row r="290" spans="1:6">
      <c r="A290" s="454" t="s">
        <v>863</v>
      </c>
      <c r="B290" s="454" t="s">
        <v>960</v>
      </c>
      <c r="C290" s="454" t="s">
        <v>396</v>
      </c>
      <c r="D290" s="454" t="s">
        <v>976</v>
      </c>
      <c r="E290" s="454">
        <v>66726.42</v>
      </c>
      <c r="F290" s="454">
        <v>59241.21</v>
      </c>
    </row>
    <row r="291" spans="1:6" hidden="1">
      <c r="A291" s="454" t="s">
        <v>864</v>
      </c>
      <c r="B291" s="454" t="s">
        <v>961</v>
      </c>
      <c r="C291" s="454" t="s">
        <v>399</v>
      </c>
      <c r="D291" s="454" t="s">
        <v>976</v>
      </c>
      <c r="E291" s="454">
        <v>13992.77</v>
      </c>
      <c r="F291" s="454">
        <v>76328.39</v>
      </c>
    </row>
    <row r="292" spans="1:6" hidden="1">
      <c r="A292" s="454" t="s">
        <v>866</v>
      </c>
      <c r="B292" s="454" t="s">
        <v>961</v>
      </c>
      <c r="C292" s="454" t="s">
        <v>366</v>
      </c>
      <c r="D292" s="454" t="s">
        <v>976</v>
      </c>
      <c r="E292" s="454">
        <v>320</v>
      </c>
      <c r="F292" s="454">
        <v>4198.55</v>
      </c>
    </row>
    <row r="293" spans="1:6" hidden="1">
      <c r="A293" s="454" t="s">
        <v>867</v>
      </c>
      <c r="B293" s="454" t="s">
        <v>962</v>
      </c>
      <c r="C293" s="454" t="s">
        <v>416</v>
      </c>
      <c r="D293" s="454" t="s">
        <v>976</v>
      </c>
      <c r="E293" s="454">
        <v>1161.56</v>
      </c>
      <c r="F293" s="454">
        <v>1631.7</v>
      </c>
    </row>
    <row r="294" spans="1:6" hidden="1">
      <c r="A294" s="454" t="s">
        <v>868</v>
      </c>
      <c r="B294" s="454" t="s">
        <v>962</v>
      </c>
      <c r="C294" s="454" t="s">
        <v>422</v>
      </c>
      <c r="D294" s="454" t="s">
        <v>976</v>
      </c>
      <c r="E294" s="454">
        <v>4594.92</v>
      </c>
      <c r="F294" s="454">
        <v>490.85</v>
      </c>
    </row>
    <row r="295" spans="1:6" hidden="1">
      <c r="A295" s="454" t="s">
        <v>869</v>
      </c>
      <c r="B295" s="454" t="s">
        <v>962</v>
      </c>
      <c r="C295" s="454" t="s">
        <v>1303</v>
      </c>
      <c r="D295" s="454" t="s">
        <v>976</v>
      </c>
      <c r="F295" s="454">
        <v>19305.259999999998</v>
      </c>
    </row>
    <row r="296" spans="1:6" hidden="1">
      <c r="A296" s="454" t="s">
        <v>870</v>
      </c>
      <c r="B296" s="454" t="s">
        <v>962</v>
      </c>
      <c r="C296" s="454" t="s">
        <v>2517</v>
      </c>
      <c r="D296" s="454" t="s">
        <v>976</v>
      </c>
      <c r="F296" s="454">
        <v>392.54</v>
      </c>
    </row>
    <row r="297" spans="1:6" hidden="1">
      <c r="A297" s="454" t="s">
        <v>871</v>
      </c>
      <c r="B297" s="454" t="s">
        <v>962</v>
      </c>
      <c r="C297" s="454" t="s">
        <v>41</v>
      </c>
      <c r="D297" s="454" t="s">
        <v>976</v>
      </c>
      <c r="E297" s="454">
        <v>966.28</v>
      </c>
    </row>
    <row r="298" spans="1:6" ht="14.25" hidden="1" thickTop="1" thickBot="1">
      <c r="A298" s="850" t="s">
        <v>1464</v>
      </c>
      <c r="B298" s="455"/>
      <c r="C298" s="455"/>
      <c r="D298" s="851"/>
      <c r="E298" s="854">
        <f>SUM(E281:E297)</f>
        <v>2508040.2599999998</v>
      </c>
      <c r="F298" s="854">
        <f>SUM(F281:F297)</f>
        <v>2566987.54</v>
      </c>
    </row>
    <row r="299" spans="1:6" hidden="1"/>
    <row r="300" spans="1:6" hidden="1">
      <c r="A300" s="454" t="s">
        <v>2395</v>
      </c>
      <c r="B300" s="454" t="s">
        <v>308</v>
      </c>
      <c r="C300" s="454" t="s">
        <v>873</v>
      </c>
      <c r="D300" s="454" t="s">
        <v>977</v>
      </c>
      <c r="E300" s="454">
        <v>-104622.56</v>
      </c>
      <c r="F300" s="454">
        <v>-84917.42</v>
      </c>
    </row>
    <row r="301" spans="1:6" hidden="1">
      <c r="A301" s="454" t="s">
        <v>872</v>
      </c>
      <c r="B301" s="454" t="s">
        <v>1105</v>
      </c>
      <c r="C301" s="454" t="s">
        <v>1491</v>
      </c>
      <c r="D301" s="454" t="s">
        <v>977</v>
      </c>
      <c r="E301" s="454">
        <v>0</v>
      </c>
    </row>
    <row r="302" spans="1:6" ht="14.25" hidden="1" thickTop="1" thickBot="1">
      <c r="A302" s="850" t="s">
        <v>1464</v>
      </c>
      <c r="B302" s="455"/>
      <c r="C302" s="455"/>
      <c r="D302" s="851"/>
      <c r="E302" s="854">
        <f>SUM(E300:E301)</f>
        <v>-104622.56</v>
      </c>
      <c r="F302" s="854">
        <f>SUM(F300:F301)</f>
        <v>-84917.42</v>
      </c>
    </row>
    <row r="303" spans="1:6" hidden="1"/>
    <row r="304" spans="1:6" hidden="1">
      <c r="A304" s="454" t="s">
        <v>874</v>
      </c>
      <c r="B304" s="454" t="s">
        <v>958</v>
      </c>
      <c r="C304" s="454" t="s">
        <v>59</v>
      </c>
      <c r="D304" s="454" t="s">
        <v>977</v>
      </c>
      <c r="E304" s="454">
        <v>135026.79999999999</v>
      </c>
      <c r="F304" s="454">
        <v>121879.88</v>
      </c>
    </row>
    <row r="305" spans="1:7" hidden="1">
      <c r="A305" s="454" t="s">
        <v>875</v>
      </c>
      <c r="B305" s="454" t="s">
        <v>958</v>
      </c>
      <c r="C305" s="454" t="s">
        <v>61</v>
      </c>
      <c r="D305" s="454" t="s">
        <v>977</v>
      </c>
      <c r="E305" s="454">
        <v>13840.2</v>
      </c>
      <c r="F305" s="454">
        <v>39398.519999999997</v>
      </c>
    </row>
    <row r="306" spans="1:7" hidden="1">
      <c r="A306" s="454" t="s">
        <v>876</v>
      </c>
      <c r="B306" s="454" t="s">
        <v>958</v>
      </c>
      <c r="C306" s="454" t="s">
        <v>51</v>
      </c>
      <c r="D306" s="454" t="s">
        <v>977</v>
      </c>
      <c r="E306" s="454">
        <v>11889.65</v>
      </c>
      <c r="F306" s="454">
        <v>12294.34</v>
      </c>
    </row>
    <row r="307" spans="1:7" hidden="1">
      <c r="A307" s="454" t="s">
        <v>878</v>
      </c>
      <c r="B307" s="454" t="s">
        <v>958</v>
      </c>
      <c r="C307" s="454" t="s">
        <v>394</v>
      </c>
      <c r="D307" s="454" t="s">
        <v>977</v>
      </c>
      <c r="E307" s="454">
        <v>28312.21</v>
      </c>
      <c r="F307" s="454">
        <v>25495.87</v>
      </c>
    </row>
    <row r="308" spans="1:7" hidden="1">
      <c r="A308" s="454" t="s">
        <v>879</v>
      </c>
      <c r="B308" s="454" t="s">
        <v>958</v>
      </c>
      <c r="C308" s="454" t="s">
        <v>394</v>
      </c>
      <c r="D308" s="454" t="s">
        <v>977</v>
      </c>
      <c r="E308" s="454">
        <v>1681.24</v>
      </c>
      <c r="F308" s="454">
        <v>1760.79</v>
      </c>
    </row>
    <row r="309" spans="1:7" hidden="1">
      <c r="A309" s="454" t="s">
        <v>881</v>
      </c>
      <c r="B309" s="454" t="s">
        <v>958</v>
      </c>
      <c r="C309" s="454" t="s">
        <v>1114</v>
      </c>
      <c r="D309" s="454" t="s">
        <v>977</v>
      </c>
      <c r="E309" s="454">
        <v>135</v>
      </c>
      <c r="F309" s="454">
        <v>114.8</v>
      </c>
    </row>
    <row r="310" spans="1:7" hidden="1">
      <c r="A310" s="454" t="s">
        <v>883</v>
      </c>
      <c r="B310" s="454" t="s">
        <v>962</v>
      </c>
      <c r="C310" s="454" t="s">
        <v>416</v>
      </c>
      <c r="D310" s="454" t="s">
        <v>977</v>
      </c>
      <c r="E310" s="454">
        <v>2704.05</v>
      </c>
      <c r="F310" s="454">
        <v>1285.3699999999999</v>
      </c>
    </row>
    <row r="311" spans="1:7" hidden="1">
      <c r="A311" s="454" t="s">
        <v>884</v>
      </c>
      <c r="B311" s="454" t="s">
        <v>962</v>
      </c>
      <c r="C311" s="454" t="s">
        <v>1303</v>
      </c>
      <c r="D311" s="454" t="s">
        <v>977</v>
      </c>
      <c r="E311" s="454">
        <v>0</v>
      </c>
      <c r="F311" s="454">
        <v>4410</v>
      </c>
    </row>
    <row r="312" spans="1:7" ht="14.25" hidden="1" thickTop="1" thickBot="1">
      <c r="A312" s="850" t="s">
        <v>1464</v>
      </c>
      <c r="B312" s="455"/>
      <c r="C312" s="455"/>
      <c r="D312" s="851"/>
      <c r="E312" s="854">
        <f>SUM(E304:E311)</f>
        <v>193589.14999999997</v>
      </c>
      <c r="F312" s="854">
        <f>SUM(F304:F311)</f>
        <v>206639.56999999998</v>
      </c>
      <c r="G312" s="454">
        <f>F312+F302</f>
        <v>121722.14999999998</v>
      </c>
    </row>
    <row r="313" spans="1:7" hidden="1"/>
    <row r="314" spans="1:7" hidden="1">
      <c r="A314" s="454" t="s">
        <v>886</v>
      </c>
      <c r="B314" s="454" t="s">
        <v>24</v>
      </c>
      <c r="C314" s="454" t="s">
        <v>1306</v>
      </c>
      <c r="D314" s="454" t="s">
        <v>978</v>
      </c>
      <c r="E314" s="454">
        <v>-5016917.6399999997</v>
      </c>
      <c r="F314" s="454">
        <v>-6029938.0300000003</v>
      </c>
    </row>
    <row r="315" spans="1:7" ht="14.25" hidden="1" thickTop="1" thickBot="1">
      <c r="A315" s="850" t="s">
        <v>1464</v>
      </c>
      <c r="B315" s="455"/>
      <c r="C315" s="455"/>
      <c r="D315" s="851"/>
      <c r="E315" s="854">
        <f>SUM(E314:E314)</f>
        <v>-5016917.6399999997</v>
      </c>
      <c r="F315" s="854">
        <f>SUM(F314:F314)</f>
        <v>-6029938.0300000003</v>
      </c>
    </row>
    <row r="316" spans="1:7" hidden="1"/>
    <row r="317" spans="1:7" hidden="1">
      <c r="A317" s="454" t="s">
        <v>887</v>
      </c>
      <c r="B317" s="454" t="s">
        <v>958</v>
      </c>
      <c r="C317" s="454" t="s">
        <v>59</v>
      </c>
      <c r="D317" s="454" t="s">
        <v>978</v>
      </c>
      <c r="E317" s="454">
        <v>1644066.12</v>
      </c>
      <c r="F317" s="454">
        <v>2017007.7</v>
      </c>
    </row>
    <row r="318" spans="1:7" hidden="1">
      <c r="A318" s="454" t="s">
        <v>888</v>
      </c>
      <c r="B318" s="454" t="s">
        <v>958</v>
      </c>
      <c r="C318" s="454" t="s">
        <v>61</v>
      </c>
      <c r="D318" s="454" t="s">
        <v>978</v>
      </c>
      <c r="E318" s="454">
        <v>518160.92</v>
      </c>
      <c r="F318" s="454">
        <v>706371.39</v>
      </c>
    </row>
    <row r="319" spans="1:7" hidden="1">
      <c r="A319" s="454" t="s">
        <v>889</v>
      </c>
      <c r="B319" s="454" t="s">
        <v>958</v>
      </c>
      <c r="C319" s="454" t="s">
        <v>51</v>
      </c>
      <c r="D319" s="454" t="s">
        <v>978</v>
      </c>
      <c r="E319" s="454">
        <v>143052.15</v>
      </c>
      <c r="F319" s="454">
        <v>148221.43</v>
      </c>
    </row>
    <row r="320" spans="1:7" hidden="1">
      <c r="A320" s="454" t="s">
        <v>891</v>
      </c>
      <c r="B320" s="454" t="s">
        <v>958</v>
      </c>
      <c r="C320" s="454" t="s">
        <v>394</v>
      </c>
      <c r="D320" s="454" t="s">
        <v>978</v>
      </c>
      <c r="E320" s="454">
        <v>3755.4</v>
      </c>
      <c r="F320" s="454">
        <v>7326</v>
      </c>
    </row>
    <row r="321" spans="1:6" hidden="1">
      <c r="A321" s="454" t="s">
        <v>892</v>
      </c>
      <c r="B321" s="454" t="s">
        <v>958</v>
      </c>
      <c r="C321" s="454" t="s">
        <v>394</v>
      </c>
      <c r="D321" s="454" t="s">
        <v>978</v>
      </c>
      <c r="E321" s="454">
        <v>361517.35</v>
      </c>
      <c r="F321" s="454">
        <v>436309.39</v>
      </c>
    </row>
    <row r="322" spans="1:6" hidden="1">
      <c r="A322" s="454" t="s">
        <v>893</v>
      </c>
      <c r="B322" s="454" t="s">
        <v>958</v>
      </c>
      <c r="C322" s="454" t="s">
        <v>394</v>
      </c>
      <c r="D322" s="454" t="s">
        <v>978</v>
      </c>
      <c r="E322" s="454">
        <v>23729.65</v>
      </c>
      <c r="F322" s="454">
        <v>28683.69</v>
      </c>
    </row>
    <row r="323" spans="1:6" hidden="1">
      <c r="A323" s="454" t="s">
        <v>894</v>
      </c>
      <c r="B323" s="454" t="s">
        <v>958</v>
      </c>
      <c r="C323" s="454" t="s">
        <v>394</v>
      </c>
      <c r="D323" s="454" t="s">
        <v>978</v>
      </c>
      <c r="E323" s="454">
        <v>7718.37</v>
      </c>
      <c r="F323" s="454">
        <v>11740.88</v>
      </c>
    </row>
    <row r="324" spans="1:6" hidden="1">
      <c r="A324" s="454" t="s">
        <v>895</v>
      </c>
      <c r="B324" s="454" t="s">
        <v>958</v>
      </c>
      <c r="C324" s="454" t="s">
        <v>1114</v>
      </c>
      <c r="D324" s="454" t="s">
        <v>978</v>
      </c>
      <c r="E324" s="454">
        <v>1567.5</v>
      </c>
      <c r="F324" s="454">
        <v>1832.7</v>
      </c>
    </row>
    <row r="325" spans="1:6">
      <c r="A325" s="454" t="s">
        <v>896</v>
      </c>
      <c r="B325" s="454" t="s">
        <v>960</v>
      </c>
      <c r="C325" s="454" t="s">
        <v>396</v>
      </c>
      <c r="D325" s="454" t="s">
        <v>978</v>
      </c>
      <c r="E325" s="454">
        <v>-21596.03</v>
      </c>
      <c r="F325" s="454">
        <v>76305.62</v>
      </c>
    </row>
    <row r="326" spans="1:6" hidden="1">
      <c r="A326" s="454" t="s">
        <v>1139</v>
      </c>
      <c r="B326" s="454" t="s">
        <v>961</v>
      </c>
      <c r="C326" s="454" t="s">
        <v>399</v>
      </c>
      <c r="D326" s="454" t="s">
        <v>978</v>
      </c>
      <c r="E326" s="454">
        <v>13902.54</v>
      </c>
      <c r="F326" s="454">
        <v>104303.33</v>
      </c>
    </row>
    <row r="327" spans="1:6" hidden="1">
      <c r="A327" s="454" t="s">
        <v>751</v>
      </c>
      <c r="B327" s="454" t="s">
        <v>961</v>
      </c>
      <c r="C327" s="454" t="s">
        <v>750</v>
      </c>
      <c r="D327" s="454" t="s">
        <v>978</v>
      </c>
      <c r="E327" s="454">
        <v>51345.760000000002</v>
      </c>
      <c r="F327" s="454">
        <v>13558.65</v>
      </c>
    </row>
    <row r="328" spans="1:6" hidden="1">
      <c r="A328" s="454" t="s">
        <v>2363</v>
      </c>
      <c r="B328" s="454" t="s">
        <v>961</v>
      </c>
      <c r="C328" s="454" t="s">
        <v>2521</v>
      </c>
      <c r="D328" s="454" t="s">
        <v>978</v>
      </c>
      <c r="F328" s="454">
        <v>176039.5</v>
      </c>
    </row>
    <row r="329" spans="1:6" hidden="1">
      <c r="A329" s="454" t="s">
        <v>1786</v>
      </c>
      <c r="B329" s="454" t="s">
        <v>961</v>
      </c>
      <c r="C329" s="454" t="s">
        <v>79</v>
      </c>
      <c r="D329" s="454" t="s">
        <v>978</v>
      </c>
      <c r="E329" s="454">
        <v>2472733.4900000002</v>
      </c>
      <c r="F329" s="454">
        <v>842758.47</v>
      </c>
    </row>
    <row r="330" spans="1:6" hidden="1">
      <c r="A330" s="454" t="s">
        <v>752</v>
      </c>
      <c r="B330" s="454" t="s">
        <v>1339</v>
      </c>
      <c r="C330" s="454" t="s">
        <v>1296</v>
      </c>
      <c r="D330" s="454" t="s">
        <v>978</v>
      </c>
      <c r="E330" s="454">
        <v>43612.21</v>
      </c>
      <c r="F330" s="454">
        <v>17156.86</v>
      </c>
    </row>
    <row r="331" spans="1:6" hidden="1">
      <c r="A331" s="454" t="s">
        <v>754</v>
      </c>
      <c r="B331" s="454" t="s">
        <v>962</v>
      </c>
      <c r="C331" s="454" t="s">
        <v>416</v>
      </c>
      <c r="D331" s="454" t="s">
        <v>978</v>
      </c>
      <c r="E331" s="454">
        <v>134610.22</v>
      </c>
      <c r="F331" s="454">
        <v>102171.46</v>
      </c>
    </row>
    <row r="332" spans="1:6" hidden="1">
      <c r="A332" s="454" t="s">
        <v>755</v>
      </c>
      <c r="B332" s="454" t="s">
        <v>962</v>
      </c>
      <c r="C332" s="454" t="s">
        <v>422</v>
      </c>
      <c r="D332" s="454" t="s">
        <v>978</v>
      </c>
      <c r="E332" s="454">
        <v>116532.57</v>
      </c>
      <c r="F332" s="454">
        <v>357033.73</v>
      </c>
    </row>
    <row r="333" spans="1:6" hidden="1">
      <c r="A333" s="454" t="s">
        <v>756</v>
      </c>
      <c r="B333" s="454" t="s">
        <v>962</v>
      </c>
      <c r="C333" s="454" t="s">
        <v>1303</v>
      </c>
      <c r="D333" s="454" t="s">
        <v>978</v>
      </c>
      <c r="F333" s="454">
        <v>7871.93</v>
      </c>
    </row>
    <row r="334" spans="1:6" hidden="1">
      <c r="A334" s="454" t="s">
        <v>757</v>
      </c>
      <c r="B334" s="454" t="s">
        <v>962</v>
      </c>
      <c r="C334" s="454" t="s">
        <v>424</v>
      </c>
      <c r="D334" s="454" t="s">
        <v>978</v>
      </c>
      <c r="E334" s="454">
        <v>282</v>
      </c>
      <c r="F334" s="454">
        <v>11257.5</v>
      </c>
    </row>
    <row r="335" spans="1:6" hidden="1">
      <c r="A335" s="454" t="s">
        <v>758</v>
      </c>
      <c r="B335" s="454" t="s">
        <v>962</v>
      </c>
      <c r="C335" s="454" t="s">
        <v>2518</v>
      </c>
      <c r="D335" s="454" t="s">
        <v>978</v>
      </c>
      <c r="F335" s="454">
        <v>41.32</v>
      </c>
    </row>
    <row r="336" spans="1:6" hidden="1">
      <c r="A336" s="454" t="s">
        <v>759</v>
      </c>
      <c r="B336" s="454" t="s">
        <v>962</v>
      </c>
      <c r="C336" s="454" t="s">
        <v>191</v>
      </c>
      <c r="D336" s="454" t="s">
        <v>978</v>
      </c>
      <c r="E336" s="454">
        <v>71263.67</v>
      </c>
      <c r="F336" s="454">
        <v>47925.62</v>
      </c>
    </row>
    <row r="337" spans="1:7" hidden="1">
      <c r="A337" s="454" t="s">
        <v>760</v>
      </c>
      <c r="B337" s="454" t="s">
        <v>962</v>
      </c>
      <c r="C337" s="454" t="s">
        <v>2519</v>
      </c>
      <c r="D337" s="454" t="s">
        <v>978</v>
      </c>
      <c r="F337" s="454">
        <v>6479.97</v>
      </c>
    </row>
    <row r="338" spans="1:7" hidden="1">
      <c r="A338" s="454" t="s">
        <v>1492</v>
      </c>
      <c r="B338" s="454" t="s">
        <v>962</v>
      </c>
      <c r="C338" s="454" t="s">
        <v>2520</v>
      </c>
      <c r="D338" s="454" t="s">
        <v>978</v>
      </c>
      <c r="E338" s="454">
        <v>985.7</v>
      </c>
    </row>
    <row r="339" spans="1:7" ht="14.25" hidden="1" thickTop="1" thickBot="1">
      <c r="A339" s="850" t="s">
        <v>1464</v>
      </c>
      <c r="B339" s="455"/>
      <c r="C339" s="455"/>
      <c r="D339" s="851"/>
      <c r="E339" s="854">
        <f>SUM(E317:E338)</f>
        <v>5587239.5900000008</v>
      </c>
      <c r="F339" s="854">
        <f>SUM(F317:F338)</f>
        <v>5120397.1400000006</v>
      </c>
      <c r="G339" s="454">
        <f>F339+F315</f>
        <v>-909540.88999999966</v>
      </c>
    </row>
    <row r="340" spans="1:7" hidden="1"/>
    <row r="341" spans="1:7" hidden="1"/>
    <row r="342" spans="1:7" hidden="1">
      <c r="A342" s="454" t="s">
        <v>2414</v>
      </c>
      <c r="C342" s="454" t="s">
        <v>2415</v>
      </c>
      <c r="D342" s="454" t="s">
        <v>979</v>
      </c>
      <c r="F342" s="454">
        <v>-8552027.7699999996</v>
      </c>
    </row>
    <row r="343" spans="1:7" hidden="1"/>
    <row r="344" spans="1:7" ht="13.5" hidden="1" thickBot="1">
      <c r="A344" s="858"/>
      <c r="B344" s="848"/>
      <c r="C344" s="848"/>
      <c r="D344" s="848"/>
      <c r="E344" s="848"/>
      <c r="F344" s="1208">
        <f>SUM(F342:F343)</f>
        <v>-8552027.7699999996</v>
      </c>
    </row>
    <row r="345" spans="1:7" hidden="1"/>
    <row r="346" spans="1:7" hidden="1">
      <c r="A346" s="454" t="s">
        <v>762</v>
      </c>
      <c r="B346" s="454" t="s">
        <v>958</v>
      </c>
      <c r="C346" s="454" t="s">
        <v>59</v>
      </c>
      <c r="D346" s="454" t="s">
        <v>979</v>
      </c>
      <c r="E346" s="454">
        <v>547393.18999999994</v>
      </c>
      <c r="F346" s="454">
        <v>700728.53</v>
      </c>
    </row>
    <row r="347" spans="1:7" hidden="1">
      <c r="A347" s="454" t="s">
        <v>763</v>
      </c>
      <c r="B347" s="454" t="s">
        <v>958</v>
      </c>
      <c r="C347" s="454" t="s">
        <v>61</v>
      </c>
      <c r="D347" s="454" t="s">
        <v>979</v>
      </c>
      <c r="E347" s="454">
        <v>2754.34</v>
      </c>
      <c r="F347" s="454">
        <v>13675.44</v>
      </c>
    </row>
    <row r="348" spans="1:7" hidden="1">
      <c r="A348" s="454" t="s">
        <v>764</v>
      </c>
      <c r="B348" s="454" t="s">
        <v>958</v>
      </c>
      <c r="C348" s="454" t="s">
        <v>51</v>
      </c>
      <c r="D348" s="454" t="s">
        <v>979</v>
      </c>
      <c r="E348" s="454">
        <v>51951.23</v>
      </c>
      <c r="F348" s="454">
        <v>64100.11</v>
      </c>
    </row>
    <row r="349" spans="1:7" hidden="1">
      <c r="A349" s="454" t="s">
        <v>765</v>
      </c>
      <c r="B349" s="454" t="s">
        <v>958</v>
      </c>
      <c r="C349" s="454" t="s">
        <v>364</v>
      </c>
      <c r="D349" s="454" t="s">
        <v>979</v>
      </c>
      <c r="E349" s="454">
        <v>31715.599999999999</v>
      </c>
    </row>
    <row r="350" spans="1:7" hidden="1">
      <c r="A350" s="454" t="s">
        <v>766</v>
      </c>
      <c r="B350" s="454" t="s">
        <v>958</v>
      </c>
      <c r="C350" s="454" t="s">
        <v>517</v>
      </c>
      <c r="D350" s="454" t="s">
        <v>979</v>
      </c>
      <c r="E350" s="454">
        <v>6867</v>
      </c>
      <c r="F350" s="454">
        <v>6408</v>
      </c>
    </row>
    <row r="351" spans="1:7" hidden="1">
      <c r="A351" s="454" t="s">
        <v>767</v>
      </c>
      <c r="B351" s="454" t="s">
        <v>958</v>
      </c>
      <c r="C351" s="454" t="s">
        <v>66</v>
      </c>
      <c r="D351" s="454" t="s">
        <v>979</v>
      </c>
      <c r="E351" s="454">
        <v>181259.48</v>
      </c>
      <c r="F351" s="454">
        <v>145438.93</v>
      </c>
    </row>
    <row r="352" spans="1:7" hidden="1">
      <c r="A352" s="454" t="s">
        <v>1787</v>
      </c>
      <c r="B352" s="454" t="s">
        <v>958</v>
      </c>
      <c r="C352" s="454" t="s">
        <v>2522</v>
      </c>
      <c r="D352" s="454" t="s">
        <v>979</v>
      </c>
      <c r="E352" s="454">
        <v>1306.25</v>
      </c>
    </row>
    <row r="353" spans="1:6" hidden="1">
      <c r="A353" s="454" t="s">
        <v>1388</v>
      </c>
      <c r="B353" s="454" t="s">
        <v>958</v>
      </c>
      <c r="C353" s="454" t="s">
        <v>394</v>
      </c>
      <c r="D353" s="454" t="s">
        <v>979</v>
      </c>
      <c r="E353" s="454">
        <v>59591.35</v>
      </c>
      <c r="F353" s="454">
        <v>89361.33</v>
      </c>
    </row>
    <row r="354" spans="1:6" hidden="1">
      <c r="A354" s="454" t="s">
        <v>1389</v>
      </c>
      <c r="B354" s="454" t="s">
        <v>958</v>
      </c>
      <c r="C354" s="454" t="s">
        <v>394</v>
      </c>
      <c r="D354" s="454" t="s">
        <v>979</v>
      </c>
      <c r="E354" s="454">
        <v>73418.05</v>
      </c>
      <c r="F354" s="454">
        <v>91448.97</v>
      </c>
    </row>
    <row r="355" spans="1:6" hidden="1">
      <c r="A355" s="454" t="s">
        <v>1390</v>
      </c>
      <c r="B355" s="454" t="s">
        <v>958</v>
      </c>
      <c r="C355" s="454" t="s">
        <v>394</v>
      </c>
      <c r="D355" s="454" t="s">
        <v>979</v>
      </c>
      <c r="E355" s="454">
        <v>715.32</v>
      </c>
      <c r="F355" s="454">
        <v>1381.83</v>
      </c>
    </row>
    <row r="356" spans="1:6" hidden="1">
      <c r="A356" s="454" t="s">
        <v>1391</v>
      </c>
      <c r="B356" s="454" t="s">
        <v>958</v>
      </c>
      <c r="C356" s="454" t="s">
        <v>394</v>
      </c>
      <c r="D356" s="454" t="s">
        <v>979</v>
      </c>
      <c r="E356" s="454">
        <v>1165.75</v>
      </c>
      <c r="F356" s="454">
        <v>8554.4</v>
      </c>
    </row>
    <row r="357" spans="1:6" hidden="1">
      <c r="A357" s="454" t="s">
        <v>1392</v>
      </c>
      <c r="B357" s="454" t="s">
        <v>958</v>
      </c>
      <c r="C357" s="454" t="s">
        <v>1114</v>
      </c>
      <c r="D357" s="454" t="s">
        <v>979</v>
      </c>
      <c r="E357" s="454">
        <v>142.74</v>
      </c>
      <c r="F357" s="454">
        <v>163.27000000000001</v>
      </c>
    </row>
    <row r="358" spans="1:6">
      <c r="A358" s="454" t="s">
        <v>1393</v>
      </c>
      <c r="B358" s="454" t="s">
        <v>960</v>
      </c>
      <c r="C358" s="454" t="s">
        <v>396</v>
      </c>
      <c r="D358" s="454" t="s">
        <v>979</v>
      </c>
      <c r="E358" s="454">
        <v>95866.97</v>
      </c>
    </row>
    <row r="359" spans="1:6" hidden="1">
      <c r="A359" s="454" t="s">
        <v>1394</v>
      </c>
      <c r="B359" s="454" t="s">
        <v>961</v>
      </c>
      <c r="C359" s="454" t="s">
        <v>2523</v>
      </c>
      <c r="D359" s="454" t="s">
        <v>979</v>
      </c>
      <c r="F359" s="454">
        <v>3380</v>
      </c>
    </row>
    <row r="360" spans="1:6" hidden="1">
      <c r="A360" s="454" t="s">
        <v>1395</v>
      </c>
      <c r="B360" s="454" t="s">
        <v>961</v>
      </c>
      <c r="C360" s="454" t="s">
        <v>399</v>
      </c>
      <c r="D360" s="454" t="s">
        <v>979</v>
      </c>
      <c r="E360" s="454">
        <v>132.53</v>
      </c>
      <c r="F360" s="454">
        <v>547.78</v>
      </c>
    </row>
    <row r="361" spans="1:6" hidden="1">
      <c r="A361" s="454" t="s">
        <v>1396</v>
      </c>
      <c r="B361" s="454" t="s">
        <v>961</v>
      </c>
      <c r="C361" s="454" t="s">
        <v>366</v>
      </c>
      <c r="D361" s="454" t="s">
        <v>979</v>
      </c>
      <c r="E361" s="454">
        <v>251.73</v>
      </c>
      <c r="F361" s="454">
        <v>127.15</v>
      </c>
    </row>
    <row r="362" spans="1:6" hidden="1">
      <c r="A362" s="454" t="s">
        <v>1397</v>
      </c>
      <c r="B362" s="454" t="s">
        <v>962</v>
      </c>
      <c r="C362" s="454" t="s">
        <v>416</v>
      </c>
      <c r="D362" s="454" t="s">
        <v>979</v>
      </c>
      <c r="E362" s="454">
        <v>420.29</v>
      </c>
      <c r="F362" s="454">
        <v>1840.96</v>
      </c>
    </row>
    <row r="363" spans="1:6" hidden="1">
      <c r="A363" s="454" t="s">
        <v>1398</v>
      </c>
      <c r="B363" s="454" t="s">
        <v>962</v>
      </c>
      <c r="C363" s="454" t="s">
        <v>1303</v>
      </c>
      <c r="D363" s="454" t="s">
        <v>979</v>
      </c>
      <c r="E363" s="454">
        <v>2296.4899999999998</v>
      </c>
      <c r="F363" s="454">
        <v>47237.4</v>
      </c>
    </row>
    <row r="364" spans="1:6" hidden="1">
      <c r="A364" s="454" t="s">
        <v>1400</v>
      </c>
      <c r="B364" s="454" t="s">
        <v>962</v>
      </c>
      <c r="C364" s="454" t="s">
        <v>430</v>
      </c>
      <c r="D364" s="454" t="s">
        <v>979</v>
      </c>
      <c r="E364" s="454">
        <v>1998.14</v>
      </c>
      <c r="F364" s="454">
        <v>2398.9</v>
      </c>
    </row>
    <row r="365" spans="1:6" hidden="1">
      <c r="A365" s="454" t="s">
        <v>1401</v>
      </c>
      <c r="B365" s="454" t="s">
        <v>962</v>
      </c>
      <c r="C365" s="454" t="s">
        <v>432</v>
      </c>
      <c r="D365" s="454" t="s">
        <v>979</v>
      </c>
      <c r="E365" s="454">
        <v>11245.9</v>
      </c>
      <c r="F365" s="454">
        <v>3721.07</v>
      </c>
    </row>
    <row r="366" spans="1:6" hidden="1">
      <c r="A366" s="454" t="s">
        <v>1402</v>
      </c>
      <c r="B366" s="454" t="s">
        <v>962</v>
      </c>
      <c r="C366" s="454" t="s">
        <v>191</v>
      </c>
      <c r="D366" s="454" t="s">
        <v>979</v>
      </c>
      <c r="E366" s="454">
        <v>51775.97</v>
      </c>
      <c r="F366" s="454">
        <v>89630.16</v>
      </c>
    </row>
    <row r="367" spans="1:6" hidden="1">
      <c r="A367" s="454" t="s">
        <v>1403</v>
      </c>
      <c r="B367" s="454" t="s">
        <v>962</v>
      </c>
      <c r="C367" s="454" t="s">
        <v>41</v>
      </c>
      <c r="D367" s="454" t="s">
        <v>979</v>
      </c>
      <c r="E367" s="454">
        <v>25074</v>
      </c>
      <c r="F367" s="454">
        <v>25095.97</v>
      </c>
    </row>
    <row r="368" spans="1:6" hidden="1">
      <c r="A368" s="454" t="s">
        <v>1404</v>
      </c>
      <c r="B368" s="454" t="s">
        <v>962</v>
      </c>
      <c r="C368" s="454" t="s">
        <v>43</v>
      </c>
      <c r="D368" s="454" t="s">
        <v>979</v>
      </c>
      <c r="E368" s="454">
        <v>168</v>
      </c>
      <c r="F368" s="454">
        <v>273.75</v>
      </c>
    </row>
    <row r="369" spans="1:7" hidden="1">
      <c r="A369" s="454" t="s">
        <v>1405</v>
      </c>
      <c r="B369" s="454" t="s">
        <v>962</v>
      </c>
      <c r="C369" s="454" t="s">
        <v>43</v>
      </c>
      <c r="D369" s="454" t="s">
        <v>979</v>
      </c>
      <c r="E369" s="454">
        <v>15041.6</v>
      </c>
      <c r="F369" s="454">
        <v>3637.93</v>
      </c>
    </row>
    <row r="370" spans="1:7" ht="14.25" hidden="1" thickTop="1" thickBot="1">
      <c r="A370" s="850" t="s">
        <v>1464</v>
      </c>
      <c r="B370" s="455"/>
      <c r="C370" s="455"/>
      <c r="D370" s="851"/>
      <c r="E370" s="854">
        <f>SUM(E346:E369)</f>
        <v>1162551.9199999997</v>
      </c>
      <c r="F370" s="854">
        <f>SUM(F346:F369)</f>
        <v>1299151.8799999997</v>
      </c>
      <c r="G370" s="454">
        <f>F370+F344</f>
        <v>-7252875.8899999997</v>
      </c>
    </row>
    <row r="371" spans="1:7" hidden="1"/>
    <row r="372" spans="1:7" hidden="1">
      <c r="A372" s="454" t="s">
        <v>1406</v>
      </c>
      <c r="B372" s="454" t="s">
        <v>308</v>
      </c>
      <c r="C372" s="454" t="s">
        <v>873</v>
      </c>
      <c r="D372" s="454" t="s">
        <v>980</v>
      </c>
      <c r="E372" s="454">
        <v>-792062.21</v>
      </c>
    </row>
    <row r="373" spans="1:7" hidden="1">
      <c r="A373" s="454" t="s">
        <v>1788</v>
      </c>
      <c r="B373" s="454" t="s">
        <v>308</v>
      </c>
      <c r="C373" s="454" t="s">
        <v>873</v>
      </c>
      <c r="D373" s="454" t="s">
        <v>980</v>
      </c>
      <c r="E373" s="454">
        <v>-1219.28</v>
      </c>
    </row>
    <row r="374" spans="1:7" hidden="1">
      <c r="A374" s="454" t="s">
        <v>1407</v>
      </c>
      <c r="B374" s="454" t="s">
        <v>761</v>
      </c>
      <c r="C374" s="454" t="s">
        <v>742</v>
      </c>
      <c r="D374" s="454" t="s">
        <v>980</v>
      </c>
      <c r="E374" s="454">
        <v>-225223.43</v>
      </c>
      <c r="F374" s="454">
        <v>-941149.42</v>
      </c>
    </row>
    <row r="375" spans="1:7" hidden="1">
      <c r="A375" s="454" t="s">
        <v>1494</v>
      </c>
      <c r="B375" s="454" t="s">
        <v>20</v>
      </c>
      <c r="C375" s="454" t="s">
        <v>1493</v>
      </c>
      <c r="D375" s="454" t="s">
        <v>980</v>
      </c>
      <c r="E375" s="454">
        <v>-71070.2</v>
      </c>
      <c r="F375" s="454">
        <v>-178836.4</v>
      </c>
    </row>
    <row r="376" spans="1:7" hidden="1">
      <c r="A376" s="454" t="s">
        <v>2418</v>
      </c>
      <c r="C376" s="454" t="s">
        <v>2419</v>
      </c>
      <c r="D376" s="454" t="s">
        <v>980</v>
      </c>
      <c r="F376" s="454">
        <v>-13580114.220000001</v>
      </c>
    </row>
    <row r="377" spans="1:7" hidden="1">
      <c r="A377" s="454" t="s">
        <v>1789</v>
      </c>
      <c r="B377" s="454" t="s">
        <v>1790</v>
      </c>
      <c r="C377" s="454" t="s">
        <v>2513</v>
      </c>
      <c r="D377" s="454" t="s">
        <v>980</v>
      </c>
      <c r="E377" s="454">
        <v>-7902795.96</v>
      </c>
    </row>
    <row r="378" spans="1:7" hidden="1">
      <c r="A378" s="454" t="s">
        <v>2416</v>
      </c>
      <c r="C378" s="454" t="s">
        <v>2417</v>
      </c>
      <c r="D378" s="454" t="s">
        <v>980</v>
      </c>
      <c r="F378" s="454">
        <v>-2921572.99</v>
      </c>
    </row>
    <row r="379" spans="1:7" hidden="1">
      <c r="D379" s="454" t="s">
        <v>980</v>
      </c>
      <c r="E379" s="454">
        <v>-50276</v>
      </c>
    </row>
    <row r="380" spans="1:7" ht="14.25" hidden="1" thickTop="1" thickBot="1">
      <c r="A380" s="850" t="s">
        <v>1464</v>
      </c>
      <c r="B380" s="455"/>
      <c r="C380" s="455"/>
      <c r="D380" s="851"/>
      <c r="E380" s="854">
        <f>SUM(E372:E379)</f>
        <v>-9042647.0800000001</v>
      </c>
      <c r="F380" s="854">
        <f>SUM(F372:F379)</f>
        <v>-17621673.030000001</v>
      </c>
    </row>
    <row r="381" spans="1:7" hidden="1"/>
    <row r="382" spans="1:7" hidden="1">
      <c r="A382" s="454" t="s">
        <v>1408</v>
      </c>
      <c r="B382" s="454" t="s">
        <v>958</v>
      </c>
      <c r="C382" s="454" t="s">
        <v>59</v>
      </c>
      <c r="D382" s="454" t="s">
        <v>980</v>
      </c>
      <c r="E382" s="454">
        <v>1843107.79</v>
      </c>
      <c r="F382" s="454">
        <v>2177686.19</v>
      </c>
    </row>
    <row r="383" spans="1:7" hidden="1">
      <c r="A383" s="454" t="s">
        <v>1409</v>
      </c>
      <c r="B383" s="454" t="s">
        <v>958</v>
      </c>
      <c r="C383" s="454" t="s">
        <v>61</v>
      </c>
      <c r="D383" s="454" t="s">
        <v>980</v>
      </c>
      <c r="E383" s="454">
        <v>580744.66</v>
      </c>
      <c r="F383" s="454">
        <v>1041276.2</v>
      </c>
    </row>
    <row r="384" spans="1:7" hidden="1">
      <c r="A384" s="454" t="s">
        <v>1410</v>
      </c>
      <c r="B384" s="454" t="s">
        <v>958</v>
      </c>
      <c r="C384" s="454" t="s">
        <v>51</v>
      </c>
      <c r="D384" s="454" t="s">
        <v>980</v>
      </c>
      <c r="E384" s="454">
        <v>159218.63</v>
      </c>
      <c r="F384" s="454">
        <v>174022.44</v>
      </c>
    </row>
    <row r="385" spans="1:6" hidden="1">
      <c r="A385" s="454" t="s">
        <v>1411</v>
      </c>
      <c r="B385" s="454" t="s">
        <v>958</v>
      </c>
      <c r="C385" s="454" t="s">
        <v>890</v>
      </c>
      <c r="D385" s="454" t="s">
        <v>980</v>
      </c>
      <c r="E385" s="454">
        <v>54792.19</v>
      </c>
      <c r="F385" s="454">
        <v>65879.960000000006</v>
      </c>
    </row>
    <row r="386" spans="1:6" hidden="1">
      <c r="A386" s="454" t="s">
        <v>1412</v>
      </c>
      <c r="B386" s="454" t="s">
        <v>958</v>
      </c>
      <c r="C386" s="454" t="s">
        <v>364</v>
      </c>
      <c r="D386" s="454" t="s">
        <v>980</v>
      </c>
      <c r="E386" s="454">
        <v>28656.36</v>
      </c>
      <c r="F386" s="454">
        <v>59464.53</v>
      </c>
    </row>
    <row r="387" spans="1:6" hidden="1">
      <c r="A387" s="454" t="s">
        <v>1413</v>
      </c>
      <c r="B387" s="454" t="s">
        <v>958</v>
      </c>
      <c r="C387" s="454" t="s">
        <v>517</v>
      </c>
      <c r="D387" s="454" t="s">
        <v>980</v>
      </c>
      <c r="E387" s="454">
        <v>6867</v>
      </c>
      <c r="F387" s="454">
        <v>6408</v>
      </c>
    </row>
    <row r="388" spans="1:6" hidden="1">
      <c r="A388" s="454" t="s">
        <v>1414</v>
      </c>
      <c r="B388" s="454" t="s">
        <v>958</v>
      </c>
      <c r="C388" s="454" t="s">
        <v>66</v>
      </c>
      <c r="D388" s="454" t="s">
        <v>980</v>
      </c>
      <c r="E388" s="454">
        <v>60595.23</v>
      </c>
      <c r="F388" s="454">
        <v>58891.92</v>
      </c>
    </row>
    <row r="389" spans="1:6" hidden="1">
      <c r="A389" s="454" t="s">
        <v>1415</v>
      </c>
      <c r="B389" s="454" t="s">
        <v>958</v>
      </c>
      <c r="C389" s="454" t="s">
        <v>394</v>
      </c>
      <c r="D389" s="454" t="s">
        <v>980</v>
      </c>
      <c r="E389" s="454">
        <v>22734</v>
      </c>
      <c r="F389" s="454">
        <v>21513.599999999999</v>
      </c>
    </row>
    <row r="390" spans="1:6" hidden="1">
      <c r="A390" s="454" t="s">
        <v>1416</v>
      </c>
      <c r="B390" s="454" t="s">
        <v>958</v>
      </c>
      <c r="C390" s="454" t="s">
        <v>394</v>
      </c>
      <c r="D390" s="454" t="s">
        <v>980</v>
      </c>
      <c r="E390" s="454">
        <v>391637.48</v>
      </c>
      <c r="F390" s="454">
        <v>454374.81</v>
      </c>
    </row>
    <row r="391" spans="1:6" hidden="1">
      <c r="A391" s="454" t="s">
        <v>1417</v>
      </c>
      <c r="B391" s="454" t="s">
        <v>958</v>
      </c>
      <c r="C391" s="454" t="s">
        <v>394</v>
      </c>
      <c r="D391" s="454" t="s">
        <v>980</v>
      </c>
      <c r="E391" s="454">
        <v>25562.52</v>
      </c>
      <c r="F391" s="454">
        <v>32265.69</v>
      </c>
    </row>
    <row r="392" spans="1:6" hidden="1">
      <c r="A392" s="454" t="s">
        <v>1418</v>
      </c>
      <c r="B392" s="454" t="s">
        <v>958</v>
      </c>
      <c r="C392" s="454" t="s">
        <v>394</v>
      </c>
      <c r="D392" s="454" t="s">
        <v>980</v>
      </c>
      <c r="E392" s="454">
        <v>6696.48</v>
      </c>
      <c r="F392" s="454">
        <v>8773.32</v>
      </c>
    </row>
    <row r="393" spans="1:6" hidden="1">
      <c r="A393" s="454" t="s">
        <v>1419</v>
      </c>
      <c r="B393" s="454" t="s">
        <v>958</v>
      </c>
      <c r="C393" s="454" t="s">
        <v>1114</v>
      </c>
      <c r="D393" s="454" t="s">
        <v>980</v>
      </c>
      <c r="E393" s="454">
        <v>1631.25</v>
      </c>
      <c r="F393" s="454">
        <v>1845</v>
      </c>
    </row>
    <row r="394" spans="1:6">
      <c r="A394" s="454" t="s">
        <v>1420</v>
      </c>
      <c r="B394" s="454" t="s">
        <v>960</v>
      </c>
      <c r="C394" s="454" t="s">
        <v>396</v>
      </c>
      <c r="D394" s="454" t="s">
        <v>980</v>
      </c>
      <c r="E394" s="454">
        <v>692986.67</v>
      </c>
    </row>
    <row r="395" spans="1:6" hidden="1">
      <c r="A395" s="454" t="s">
        <v>1421</v>
      </c>
      <c r="B395" s="454" t="s">
        <v>961</v>
      </c>
      <c r="C395" s="454" t="s">
        <v>399</v>
      </c>
      <c r="D395" s="454" t="s">
        <v>980</v>
      </c>
      <c r="E395" s="454">
        <v>60510.53</v>
      </c>
      <c r="F395" s="454">
        <v>1205926.4099999999</v>
      </c>
    </row>
    <row r="396" spans="1:6" hidden="1">
      <c r="A396" s="454" t="s">
        <v>1422</v>
      </c>
      <c r="B396" s="454" t="s">
        <v>961</v>
      </c>
      <c r="C396" s="454" t="s">
        <v>1423</v>
      </c>
      <c r="D396" s="454" t="s">
        <v>980</v>
      </c>
      <c r="E396" s="454">
        <v>124208.41</v>
      </c>
      <c r="F396" s="454">
        <v>29165.34</v>
      </c>
    </row>
    <row r="397" spans="1:6" hidden="1">
      <c r="A397" s="454" t="s">
        <v>1424</v>
      </c>
      <c r="B397" s="454" t="s">
        <v>961</v>
      </c>
      <c r="C397" s="454" t="s">
        <v>1425</v>
      </c>
      <c r="D397" s="454" t="s">
        <v>980</v>
      </c>
      <c r="E397" s="454">
        <v>6641.89</v>
      </c>
      <c r="F397" s="454">
        <v>3570.14</v>
      </c>
    </row>
    <row r="398" spans="1:6" hidden="1">
      <c r="A398" s="454" t="s">
        <v>1426</v>
      </c>
      <c r="B398" s="454" t="s">
        <v>961</v>
      </c>
      <c r="C398" s="454" t="s">
        <v>366</v>
      </c>
      <c r="D398" s="454" t="s">
        <v>980</v>
      </c>
      <c r="E398" s="454">
        <v>0</v>
      </c>
    </row>
    <row r="399" spans="1:6" hidden="1">
      <c r="A399" s="454" t="s">
        <v>1427</v>
      </c>
      <c r="B399" s="454" t="s">
        <v>961</v>
      </c>
      <c r="C399" s="454" t="s">
        <v>366</v>
      </c>
      <c r="D399" s="454" t="s">
        <v>980</v>
      </c>
      <c r="E399" s="454">
        <v>8119.73</v>
      </c>
      <c r="F399" s="454">
        <v>54986.45</v>
      </c>
    </row>
    <row r="400" spans="1:6" hidden="1">
      <c r="A400" s="454" t="s">
        <v>1428</v>
      </c>
      <c r="B400" s="454" t="s">
        <v>961</v>
      </c>
      <c r="C400" s="454" t="s">
        <v>76</v>
      </c>
      <c r="D400" s="454" t="s">
        <v>980</v>
      </c>
      <c r="E400" s="454">
        <v>0</v>
      </c>
    </row>
    <row r="401" spans="1:7" hidden="1">
      <c r="A401" s="454" t="s">
        <v>1429</v>
      </c>
      <c r="B401" s="454" t="s">
        <v>1339</v>
      </c>
      <c r="C401" s="454" t="s">
        <v>1296</v>
      </c>
      <c r="D401" s="454" t="s">
        <v>980</v>
      </c>
      <c r="E401" s="454">
        <v>37309.78</v>
      </c>
      <c r="F401" s="454">
        <v>12759.36</v>
      </c>
    </row>
    <row r="402" spans="1:7" hidden="1">
      <c r="A402" s="454" t="s">
        <v>1430</v>
      </c>
      <c r="B402" s="454" t="s">
        <v>1339</v>
      </c>
      <c r="C402" s="454" t="s">
        <v>1308</v>
      </c>
      <c r="D402" s="454" t="s">
        <v>980</v>
      </c>
      <c r="E402" s="454">
        <v>0</v>
      </c>
    </row>
    <row r="403" spans="1:7" hidden="1">
      <c r="A403" s="454" t="s">
        <v>1431</v>
      </c>
      <c r="B403" s="454" t="s">
        <v>962</v>
      </c>
      <c r="C403" s="454" t="s">
        <v>416</v>
      </c>
      <c r="D403" s="454" t="s">
        <v>980</v>
      </c>
      <c r="E403" s="454">
        <v>-5272.5</v>
      </c>
    </row>
    <row r="404" spans="1:7" hidden="1">
      <c r="A404" s="454" t="s">
        <v>1432</v>
      </c>
      <c r="B404" s="454" t="s">
        <v>962</v>
      </c>
      <c r="C404" s="454" t="s">
        <v>422</v>
      </c>
      <c r="D404" s="454" t="s">
        <v>980</v>
      </c>
      <c r="E404" s="454">
        <v>128435.57</v>
      </c>
      <c r="F404" s="454">
        <v>3776.41</v>
      </c>
    </row>
    <row r="405" spans="1:7" hidden="1">
      <c r="A405" s="454" t="s">
        <v>468</v>
      </c>
      <c r="B405" s="454" t="s">
        <v>962</v>
      </c>
      <c r="C405" s="454" t="s">
        <v>1303</v>
      </c>
      <c r="D405" s="454" t="s">
        <v>980</v>
      </c>
      <c r="E405" s="454">
        <v>4746.82</v>
      </c>
      <c r="F405" s="454">
        <v>4542.1099999999997</v>
      </c>
    </row>
    <row r="406" spans="1:7" hidden="1">
      <c r="A406" s="454" t="s">
        <v>469</v>
      </c>
      <c r="B406" s="454" t="s">
        <v>962</v>
      </c>
      <c r="C406" s="454" t="s">
        <v>424</v>
      </c>
      <c r="D406" s="454" t="s">
        <v>980</v>
      </c>
      <c r="E406" s="454">
        <v>23265.7</v>
      </c>
      <c r="F406" s="454">
        <v>13186.2</v>
      </c>
    </row>
    <row r="407" spans="1:7" hidden="1">
      <c r="A407" s="454" t="s">
        <v>470</v>
      </c>
      <c r="B407" s="454" t="s">
        <v>962</v>
      </c>
      <c r="C407" s="454" t="s">
        <v>432</v>
      </c>
      <c r="D407" s="454" t="s">
        <v>980</v>
      </c>
      <c r="E407" s="454">
        <v>728.62</v>
      </c>
      <c r="F407" s="454">
        <v>160.44999999999999</v>
      </c>
    </row>
    <row r="408" spans="1:7" hidden="1">
      <c r="A408" s="454" t="s">
        <v>471</v>
      </c>
      <c r="B408" s="454" t="s">
        <v>962</v>
      </c>
      <c r="C408" s="454" t="s">
        <v>191</v>
      </c>
      <c r="D408" s="454" t="s">
        <v>980</v>
      </c>
      <c r="E408" s="454">
        <v>48599.12</v>
      </c>
      <c r="F408" s="454">
        <v>48888</v>
      </c>
    </row>
    <row r="409" spans="1:7" hidden="1">
      <c r="A409" s="454" t="s">
        <v>472</v>
      </c>
      <c r="B409" s="454" t="s">
        <v>962</v>
      </c>
      <c r="C409" s="454" t="s">
        <v>41</v>
      </c>
      <c r="D409" s="454" t="s">
        <v>980</v>
      </c>
      <c r="E409" s="454">
        <v>2408</v>
      </c>
    </row>
    <row r="410" spans="1:7" hidden="1">
      <c r="A410" s="454" t="s">
        <v>473</v>
      </c>
      <c r="B410" s="454" t="s">
        <v>962</v>
      </c>
      <c r="C410" s="454" t="s">
        <v>43</v>
      </c>
      <c r="D410" s="454" t="s">
        <v>980</v>
      </c>
      <c r="E410" s="454">
        <v>0</v>
      </c>
    </row>
    <row r="411" spans="1:7" hidden="1">
      <c r="A411" s="454" t="s">
        <v>474</v>
      </c>
      <c r="B411" s="454" t="s">
        <v>962</v>
      </c>
      <c r="C411" s="454" t="s">
        <v>43</v>
      </c>
      <c r="D411" s="454" t="s">
        <v>980</v>
      </c>
      <c r="E411" s="454">
        <v>164.18</v>
      </c>
      <c r="F411" s="454">
        <v>2438.75</v>
      </c>
    </row>
    <row r="412" spans="1:7" hidden="1">
      <c r="A412" s="454" t="s">
        <v>1791</v>
      </c>
      <c r="E412" s="454">
        <v>47274.28</v>
      </c>
    </row>
    <row r="413" spans="1:7" ht="14.25" hidden="1" thickTop="1" thickBot="1">
      <c r="A413" s="850" t="s">
        <v>1464</v>
      </c>
      <c r="B413" s="455"/>
      <c r="C413" s="455"/>
      <c r="D413" s="851"/>
      <c r="E413" s="854">
        <f>SUM(E382:E412)</f>
        <v>4362370.3900000006</v>
      </c>
      <c r="F413" s="854">
        <f>SUM(F382:F412)</f>
        <v>5481801.2800000003</v>
      </c>
      <c r="G413" s="454">
        <f>F413+F380</f>
        <v>-12139871.75</v>
      </c>
    </row>
    <row r="414" spans="1:7" hidden="1"/>
    <row r="415" spans="1:7" hidden="1">
      <c r="A415" s="454" t="s">
        <v>1792</v>
      </c>
      <c r="B415" s="454" t="s">
        <v>761</v>
      </c>
      <c r="C415" s="454" t="s">
        <v>742</v>
      </c>
      <c r="D415" s="454" t="s">
        <v>981</v>
      </c>
      <c r="E415" s="454">
        <v>0</v>
      </c>
      <c r="F415" s="454">
        <v>-54116</v>
      </c>
    </row>
    <row r="416" spans="1:7" hidden="1">
      <c r="D416" s="454" t="s">
        <v>981</v>
      </c>
      <c r="E416" s="454">
        <v>-783000</v>
      </c>
      <c r="F416" s="454">
        <v>-158500</v>
      </c>
    </row>
    <row r="417" spans="1:7" hidden="1">
      <c r="A417" s="454" t="s">
        <v>475</v>
      </c>
      <c r="B417" s="454" t="s">
        <v>1842</v>
      </c>
      <c r="C417" s="454" t="s">
        <v>414</v>
      </c>
      <c r="D417" s="454" t="s">
        <v>981</v>
      </c>
      <c r="E417" s="454">
        <v>0</v>
      </c>
    </row>
    <row r="418" spans="1:7" hidden="1">
      <c r="A418" s="454" t="s">
        <v>476</v>
      </c>
      <c r="B418" s="454" t="s">
        <v>1842</v>
      </c>
      <c r="C418" s="454" t="s">
        <v>381</v>
      </c>
      <c r="D418" s="454" t="s">
        <v>981</v>
      </c>
      <c r="E418" s="454">
        <v>0</v>
      </c>
    </row>
    <row r="419" spans="1:7" hidden="1">
      <c r="A419" s="454" t="s">
        <v>1171</v>
      </c>
      <c r="B419" s="454" t="s">
        <v>1842</v>
      </c>
      <c r="C419" s="454" t="s">
        <v>381</v>
      </c>
      <c r="D419" s="454" t="s">
        <v>981</v>
      </c>
      <c r="E419" s="454">
        <v>0</v>
      </c>
    </row>
    <row r="420" spans="1:7" ht="14.25" hidden="1" thickTop="1" thickBot="1">
      <c r="A420" s="850" t="s">
        <v>1464</v>
      </c>
      <c r="B420" s="455"/>
      <c r="C420" s="455"/>
      <c r="D420" s="851"/>
      <c r="E420" s="854">
        <f>SUM(E415:E419)</f>
        <v>-783000</v>
      </c>
      <c r="F420" s="854">
        <f>SUM(F415:F419)</f>
        <v>-212616</v>
      </c>
    </row>
    <row r="421" spans="1:7" hidden="1"/>
    <row r="422" spans="1:7" hidden="1">
      <c r="A422" s="855" t="s">
        <v>2047</v>
      </c>
      <c r="C422" s="454" t="s">
        <v>2524</v>
      </c>
      <c r="D422" s="454" t="s">
        <v>981</v>
      </c>
      <c r="E422" s="454">
        <v>3884563.47</v>
      </c>
      <c r="F422" s="454">
        <f>1408380.51-1406448.48</f>
        <v>1932.0300000000279</v>
      </c>
    </row>
    <row r="423" spans="1:7" hidden="1">
      <c r="A423" s="454" t="s">
        <v>1172</v>
      </c>
      <c r="B423" s="454" t="s">
        <v>961</v>
      </c>
      <c r="C423" s="454" t="s">
        <v>399</v>
      </c>
      <c r="D423" s="454" t="s">
        <v>981</v>
      </c>
      <c r="E423" s="454">
        <v>318.64999999999998</v>
      </c>
      <c r="F423" s="454">
        <v>27854.22</v>
      </c>
    </row>
    <row r="424" spans="1:7" hidden="1">
      <c r="A424" s="454" t="s">
        <v>1173</v>
      </c>
      <c r="B424" s="454" t="s">
        <v>961</v>
      </c>
      <c r="C424" s="454" t="s">
        <v>366</v>
      </c>
      <c r="D424" s="454" t="s">
        <v>981</v>
      </c>
      <c r="E424" s="454">
        <v>178513.09</v>
      </c>
      <c r="F424" s="454">
        <v>37581.339999999997</v>
      </c>
    </row>
    <row r="425" spans="1:7" hidden="1">
      <c r="A425" s="454" t="s">
        <v>1174</v>
      </c>
      <c r="B425" s="454" t="s">
        <v>1339</v>
      </c>
      <c r="C425" s="454" t="s">
        <v>1296</v>
      </c>
      <c r="D425" s="454" t="s">
        <v>981</v>
      </c>
      <c r="E425" s="454">
        <v>1593158.2</v>
      </c>
      <c r="F425" s="454">
        <v>240502.9</v>
      </c>
    </row>
    <row r="426" spans="1:7" hidden="1">
      <c r="A426" s="454" t="s">
        <v>220</v>
      </c>
      <c r="B426" s="454" t="s">
        <v>962</v>
      </c>
      <c r="C426" s="454" t="s">
        <v>416</v>
      </c>
      <c r="D426" s="454" t="s">
        <v>981</v>
      </c>
      <c r="E426" s="454">
        <v>70525.34</v>
      </c>
      <c r="F426" s="454">
        <v>69962.83</v>
      </c>
    </row>
    <row r="427" spans="1:7" ht="14.25" hidden="1" thickTop="1" thickBot="1">
      <c r="A427" s="850" t="s">
        <v>1464</v>
      </c>
      <c r="B427" s="455"/>
      <c r="C427" s="455"/>
      <c r="D427" s="851"/>
      <c r="E427" s="854">
        <f>SUM(E422:E426)</f>
        <v>5727078.75</v>
      </c>
      <c r="F427" s="854">
        <f>SUM(F422:F426)</f>
        <v>377833.32</v>
      </c>
      <c r="G427" s="454">
        <f>F427+F420</f>
        <v>165217.32</v>
      </c>
    </row>
    <row r="428" spans="1:7" hidden="1"/>
    <row r="429" spans="1:7" hidden="1">
      <c r="A429" s="454" t="s">
        <v>2420</v>
      </c>
      <c r="B429" s="454" t="s">
        <v>793</v>
      </c>
      <c r="C429" s="454" t="s">
        <v>873</v>
      </c>
      <c r="D429" s="454" t="s">
        <v>793</v>
      </c>
      <c r="E429" s="454">
        <v>-26885636.309999999</v>
      </c>
      <c r="F429" s="454">
        <v>-38924217.200000003</v>
      </c>
    </row>
    <row r="430" spans="1:7" hidden="1">
      <c r="A430" s="454" t="s">
        <v>2421</v>
      </c>
      <c r="B430" s="454" t="s">
        <v>793</v>
      </c>
      <c r="C430" s="454" t="s">
        <v>873</v>
      </c>
      <c r="D430" s="454" t="s">
        <v>793</v>
      </c>
      <c r="E430" s="454">
        <v>-248321.23</v>
      </c>
      <c r="F430" s="454">
        <v>-87968.46</v>
      </c>
    </row>
    <row r="431" spans="1:7" hidden="1">
      <c r="A431" s="454" t="s">
        <v>2422</v>
      </c>
      <c r="B431" s="454" t="s">
        <v>793</v>
      </c>
      <c r="C431" s="454" t="s">
        <v>873</v>
      </c>
      <c r="D431" s="454" t="s">
        <v>793</v>
      </c>
      <c r="E431" s="454">
        <v>-175884.61</v>
      </c>
      <c r="F431" s="454">
        <v>-1570225.9</v>
      </c>
    </row>
    <row r="432" spans="1:7" hidden="1">
      <c r="A432" s="454" t="s">
        <v>2423</v>
      </c>
      <c r="B432" s="454" t="s">
        <v>793</v>
      </c>
      <c r="C432" s="454" t="s">
        <v>873</v>
      </c>
      <c r="D432" s="454" t="s">
        <v>793</v>
      </c>
      <c r="E432" s="454">
        <v>-10749142.550000001</v>
      </c>
      <c r="F432" s="454">
        <v>-8923144.1400000006</v>
      </c>
    </row>
    <row r="433" spans="1:6" hidden="1">
      <c r="A433" s="454" t="s">
        <v>2424</v>
      </c>
      <c r="B433" s="454" t="s">
        <v>793</v>
      </c>
      <c r="C433" s="454" t="s">
        <v>1841</v>
      </c>
      <c r="D433" s="454" t="s">
        <v>793</v>
      </c>
      <c r="E433" s="454">
        <v>-1492029.19</v>
      </c>
      <c r="F433" s="454">
        <v>-1842237.5</v>
      </c>
    </row>
    <row r="434" spans="1:6" hidden="1">
      <c r="A434" s="454" t="s">
        <v>2425</v>
      </c>
      <c r="B434" s="454" t="s">
        <v>793</v>
      </c>
      <c r="C434" s="454" t="s">
        <v>1841</v>
      </c>
      <c r="D434" s="454" t="s">
        <v>793</v>
      </c>
      <c r="E434" s="454">
        <v>-1433810.11</v>
      </c>
      <c r="F434" s="454">
        <v>-2349112.5</v>
      </c>
    </row>
    <row r="435" spans="1:6" hidden="1">
      <c r="A435" s="454" t="s">
        <v>2426</v>
      </c>
      <c r="B435" s="454" t="s">
        <v>793</v>
      </c>
      <c r="C435" s="454" t="s">
        <v>873</v>
      </c>
      <c r="D435" s="454" t="s">
        <v>793</v>
      </c>
      <c r="E435" s="454">
        <v>-9917.69</v>
      </c>
      <c r="F435" s="454">
        <f>-125846.34-6176.31</f>
        <v>-132022.65</v>
      </c>
    </row>
    <row r="436" spans="1:6" hidden="1">
      <c r="A436" s="454" t="s">
        <v>2527</v>
      </c>
      <c r="B436" s="454" t="s">
        <v>793</v>
      </c>
      <c r="C436" s="454" t="s">
        <v>1721</v>
      </c>
      <c r="D436" s="454" t="s">
        <v>793</v>
      </c>
      <c r="E436" s="454">
        <f>-890199.43+695616.6-560259.49</f>
        <v>-754842.32000000007</v>
      </c>
      <c r="F436" s="454">
        <f>-189099.32-754842.32</f>
        <v>-943941.6399999999</v>
      </c>
    </row>
    <row r="437" spans="1:6" hidden="1">
      <c r="A437" s="454" t="s">
        <v>1495</v>
      </c>
      <c r="B437" s="454" t="s">
        <v>793</v>
      </c>
      <c r="C437" s="454" t="s">
        <v>1842</v>
      </c>
      <c r="D437" s="454" t="s">
        <v>793</v>
      </c>
      <c r="E437" s="454">
        <v>0</v>
      </c>
    </row>
    <row r="438" spans="1:6" hidden="1"/>
    <row r="439" spans="1:6" hidden="1"/>
    <row r="440" spans="1:6" ht="14.25" hidden="1" thickTop="1" thickBot="1">
      <c r="A440" s="850" t="s">
        <v>1464</v>
      </c>
      <c r="B440" s="455"/>
      <c r="C440" s="455"/>
      <c r="D440" s="851"/>
      <c r="E440" s="854">
        <f>SUM(E429:E439)</f>
        <v>-41749584.009999998</v>
      </c>
      <c r="F440" s="854">
        <f>SUM(F429:F439)</f>
        <v>-54772869.990000002</v>
      </c>
    </row>
    <row r="441" spans="1:6" hidden="1"/>
    <row r="442" spans="1:6" hidden="1">
      <c r="A442" s="454" t="s">
        <v>225</v>
      </c>
      <c r="B442" s="454" t="s">
        <v>958</v>
      </c>
      <c r="C442" s="454" t="s">
        <v>59</v>
      </c>
      <c r="D442" s="454" t="s">
        <v>793</v>
      </c>
      <c r="E442" s="454">
        <v>1540309.83</v>
      </c>
      <c r="F442" s="454">
        <v>1811629.16</v>
      </c>
    </row>
    <row r="443" spans="1:6" hidden="1">
      <c r="A443" s="454" t="s">
        <v>226</v>
      </c>
      <c r="B443" s="454" t="s">
        <v>958</v>
      </c>
      <c r="C443" s="454" t="s">
        <v>61</v>
      </c>
      <c r="D443" s="454" t="s">
        <v>793</v>
      </c>
      <c r="E443" s="454">
        <v>920140.68</v>
      </c>
      <c r="F443" s="454">
        <v>1415089.35</v>
      </c>
    </row>
    <row r="444" spans="1:6" hidden="1">
      <c r="A444" s="454" t="s">
        <v>227</v>
      </c>
      <c r="B444" s="454" t="s">
        <v>958</v>
      </c>
      <c r="C444" s="454" t="s">
        <v>51</v>
      </c>
      <c r="D444" s="454" t="s">
        <v>793</v>
      </c>
      <c r="E444" s="454">
        <v>129195.8</v>
      </c>
      <c r="F444" s="454">
        <v>149038.47</v>
      </c>
    </row>
    <row r="445" spans="1:6" hidden="1">
      <c r="A445" s="454" t="s">
        <v>228</v>
      </c>
      <c r="B445" s="454" t="s">
        <v>958</v>
      </c>
      <c r="C445" s="454" t="s">
        <v>890</v>
      </c>
      <c r="D445" s="454" t="s">
        <v>793</v>
      </c>
      <c r="E445" s="454">
        <v>99251.39</v>
      </c>
      <c r="F445" s="454">
        <v>132861.85</v>
      </c>
    </row>
    <row r="446" spans="1:6" hidden="1">
      <c r="A446" s="454" t="s">
        <v>229</v>
      </c>
      <c r="B446" s="454" t="s">
        <v>958</v>
      </c>
      <c r="C446" s="454" t="s">
        <v>2526</v>
      </c>
      <c r="D446" s="454" t="s">
        <v>793</v>
      </c>
      <c r="F446" s="454">
        <v>75329.52</v>
      </c>
    </row>
    <row r="447" spans="1:6" hidden="1">
      <c r="A447" s="454" t="s">
        <v>230</v>
      </c>
      <c r="B447" s="454" t="s">
        <v>958</v>
      </c>
      <c r="C447" s="454" t="s">
        <v>517</v>
      </c>
      <c r="D447" s="454" t="s">
        <v>793</v>
      </c>
      <c r="E447" s="454">
        <v>2595</v>
      </c>
      <c r="F447" s="454">
        <v>3000</v>
      </c>
    </row>
    <row r="448" spans="1:6" hidden="1">
      <c r="A448" s="454" t="s">
        <v>1498</v>
      </c>
      <c r="B448" s="454" t="s">
        <v>958</v>
      </c>
      <c r="D448" s="454" t="s">
        <v>793</v>
      </c>
      <c r="E448" s="454">
        <v>73261.13</v>
      </c>
      <c r="F448" s="454">
        <v>64826.879999999997</v>
      </c>
    </row>
    <row r="449" spans="1:6" hidden="1">
      <c r="A449" s="454" t="s">
        <v>231</v>
      </c>
      <c r="B449" s="454" t="s">
        <v>958</v>
      </c>
      <c r="C449" s="454" t="s">
        <v>394</v>
      </c>
      <c r="D449" s="454" t="s">
        <v>793</v>
      </c>
      <c r="E449" s="454">
        <v>13113.74</v>
      </c>
      <c r="F449" s="454">
        <v>93678.6</v>
      </c>
    </row>
    <row r="450" spans="1:6" hidden="1">
      <c r="A450" s="454" t="s">
        <v>232</v>
      </c>
      <c r="B450" s="454" t="s">
        <v>958</v>
      </c>
      <c r="C450" s="454" t="s">
        <v>394</v>
      </c>
      <c r="D450" s="454" t="s">
        <v>793</v>
      </c>
      <c r="E450" s="454">
        <v>323969.2</v>
      </c>
      <c r="F450" s="454">
        <v>405533.51</v>
      </c>
    </row>
    <row r="451" spans="1:6" hidden="1">
      <c r="A451" s="454" t="s">
        <v>233</v>
      </c>
      <c r="B451" s="454" t="s">
        <v>958</v>
      </c>
      <c r="C451" s="454" t="s">
        <v>394</v>
      </c>
      <c r="D451" s="454" t="s">
        <v>793</v>
      </c>
      <c r="E451" s="454">
        <v>18448.810000000001</v>
      </c>
      <c r="F451" s="454">
        <v>23541.39</v>
      </c>
    </row>
    <row r="452" spans="1:6" hidden="1">
      <c r="A452" s="454" t="s">
        <v>234</v>
      </c>
      <c r="B452" s="454" t="s">
        <v>958</v>
      </c>
      <c r="C452" s="454" t="s">
        <v>394</v>
      </c>
      <c r="D452" s="454" t="s">
        <v>793</v>
      </c>
      <c r="E452" s="454">
        <v>13373.48</v>
      </c>
      <c r="F452" s="454">
        <v>16162.92</v>
      </c>
    </row>
    <row r="453" spans="1:6" hidden="1">
      <c r="A453" s="454" t="s">
        <v>235</v>
      </c>
      <c r="B453" s="454" t="s">
        <v>958</v>
      </c>
      <c r="C453" s="454" t="s">
        <v>1114</v>
      </c>
      <c r="D453" s="454" t="s">
        <v>793</v>
      </c>
      <c r="E453" s="454">
        <v>1053.54</v>
      </c>
      <c r="F453" s="454">
        <v>1183.0899999999999</v>
      </c>
    </row>
    <row r="454" spans="1:6">
      <c r="A454" s="454" t="s">
        <v>236</v>
      </c>
      <c r="B454" s="454" t="s">
        <v>960</v>
      </c>
      <c r="C454" s="454" t="s">
        <v>396</v>
      </c>
      <c r="D454" s="454" t="s">
        <v>793</v>
      </c>
      <c r="E454" s="454">
        <v>1069864.3799999999</v>
      </c>
      <c r="F454" s="454">
        <f>1000216.81</f>
        <v>1000216.81</v>
      </c>
    </row>
    <row r="455" spans="1:6" hidden="1">
      <c r="A455" s="454" t="s">
        <v>237</v>
      </c>
      <c r="B455" s="454" t="s">
        <v>961</v>
      </c>
      <c r="C455" s="454" t="s">
        <v>399</v>
      </c>
      <c r="D455" s="454" t="s">
        <v>793</v>
      </c>
      <c r="E455" s="454">
        <v>1587.62</v>
      </c>
      <c r="F455" s="454">
        <v>18093.43</v>
      </c>
    </row>
    <row r="456" spans="1:6" hidden="1">
      <c r="A456" s="454" t="s">
        <v>238</v>
      </c>
      <c r="B456" s="454" t="s">
        <v>961</v>
      </c>
      <c r="C456" s="454" t="s">
        <v>239</v>
      </c>
      <c r="D456" s="454" t="s">
        <v>793</v>
      </c>
      <c r="E456" s="454">
        <v>1174481.3700000001</v>
      </c>
      <c r="F456" s="454">
        <v>1261091.49</v>
      </c>
    </row>
    <row r="457" spans="1:6" hidden="1">
      <c r="A457" s="454" t="s">
        <v>241</v>
      </c>
      <c r="B457" s="454" t="s">
        <v>961</v>
      </c>
      <c r="C457" s="454" t="s">
        <v>366</v>
      </c>
      <c r="D457" s="454" t="s">
        <v>793</v>
      </c>
      <c r="E457" s="454">
        <v>39475.21</v>
      </c>
      <c r="F457" s="454">
        <v>13249</v>
      </c>
    </row>
    <row r="458" spans="1:6" hidden="1">
      <c r="A458" s="454" t="s">
        <v>242</v>
      </c>
      <c r="B458" s="454" t="s">
        <v>1339</v>
      </c>
      <c r="C458" s="454" t="s">
        <v>1296</v>
      </c>
      <c r="D458" s="454" t="s">
        <v>793</v>
      </c>
      <c r="E458" s="454">
        <v>251129.12</v>
      </c>
      <c r="F458" s="454">
        <v>78508.36</v>
      </c>
    </row>
    <row r="459" spans="1:6" hidden="1">
      <c r="A459" s="454" t="s">
        <v>243</v>
      </c>
      <c r="B459" s="454" t="s">
        <v>13</v>
      </c>
      <c r="C459" s="454" t="s">
        <v>244</v>
      </c>
      <c r="D459" s="454" t="s">
        <v>793</v>
      </c>
      <c r="E459" s="454">
        <v>28933065.280000001</v>
      </c>
      <c r="F459" s="454">
        <v>30105151.129999999</v>
      </c>
    </row>
    <row r="460" spans="1:6" hidden="1">
      <c r="A460" s="454" t="s">
        <v>245</v>
      </c>
      <c r="B460" s="454" t="s">
        <v>962</v>
      </c>
      <c r="C460" s="454" t="s">
        <v>416</v>
      </c>
      <c r="D460" s="454" t="s">
        <v>793</v>
      </c>
      <c r="E460" s="454">
        <v>6652.45</v>
      </c>
      <c r="F460" s="454">
        <v>11779.39</v>
      </c>
    </row>
    <row r="461" spans="1:6" hidden="1">
      <c r="A461" s="454" t="s">
        <v>246</v>
      </c>
      <c r="B461" s="454" t="s">
        <v>962</v>
      </c>
      <c r="C461" s="454" t="s">
        <v>422</v>
      </c>
      <c r="D461" s="454" t="s">
        <v>793</v>
      </c>
      <c r="E461" s="454">
        <v>137254.54999999999</v>
      </c>
      <c r="F461" s="454">
        <v>106826.8</v>
      </c>
    </row>
    <row r="462" spans="1:6" hidden="1">
      <c r="A462" s="454" t="s">
        <v>247</v>
      </c>
      <c r="B462" s="454" t="s">
        <v>962</v>
      </c>
      <c r="C462" s="454" t="s">
        <v>1303</v>
      </c>
      <c r="D462" s="454" t="s">
        <v>793</v>
      </c>
      <c r="E462" s="454">
        <v>924.88</v>
      </c>
      <c r="F462" s="454">
        <v>17384.240000000002</v>
      </c>
    </row>
    <row r="463" spans="1:6" hidden="1">
      <c r="A463" s="454" t="s">
        <v>248</v>
      </c>
      <c r="B463" s="454" t="s">
        <v>962</v>
      </c>
      <c r="C463" s="454" t="s">
        <v>424</v>
      </c>
      <c r="D463" s="454" t="s">
        <v>793</v>
      </c>
      <c r="E463" s="454">
        <v>9193.2000000000007</v>
      </c>
      <c r="F463" s="454">
        <v>3168.5</v>
      </c>
    </row>
    <row r="464" spans="1:6" hidden="1">
      <c r="A464" s="454" t="s">
        <v>249</v>
      </c>
      <c r="B464" s="454" t="s">
        <v>962</v>
      </c>
      <c r="C464" s="454" t="s">
        <v>2525</v>
      </c>
      <c r="D464" s="454" t="s">
        <v>793</v>
      </c>
      <c r="F464" s="454">
        <v>7702.12</v>
      </c>
    </row>
    <row r="465" spans="1:7" hidden="1">
      <c r="A465" s="454" t="s">
        <v>250</v>
      </c>
      <c r="B465" s="454" t="s">
        <v>962</v>
      </c>
      <c r="C465" s="454" t="s">
        <v>191</v>
      </c>
      <c r="D465" s="454" t="s">
        <v>793</v>
      </c>
      <c r="E465" s="454">
        <v>48123.24</v>
      </c>
      <c r="F465" s="454">
        <v>5314.32</v>
      </c>
    </row>
    <row r="466" spans="1:7" hidden="1">
      <c r="A466" s="454" t="s">
        <v>251</v>
      </c>
      <c r="B466" s="454" t="s">
        <v>962</v>
      </c>
      <c r="C466" s="454" t="s">
        <v>41</v>
      </c>
      <c r="D466" s="454" t="s">
        <v>793</v>
      </c>
      <c r="E466" s="454">
        <v>228.57</v>
      </c>
      <c r="F466" s="454">
        <v>260</v>
      </c>
    </row>
    <row r="467" spans="1:7" hidden="1">
      <c r="A467" s="454" t="s">
        <v>253</v>
      </c>
      <c r="B467" s="454" t="s">
        <v>962</v>
      </c>
      <c r="C467" s="454" t="s">
        <v>43</v>
      </c>
      <c r="D467" s="454" t="s">
        <v>793</v>
      </c>
      <c r="E467" s="454">
        <v>58780.58</v>
      </c>
      <c r="F467" s="454">
        <v>18184.57</v>
      </c>
    </row>
    <row r="468" spans="1:7" ht="18" hidden="1" customHeight="1" thickTop="1" thickBot="1">
      <c r="A468" s="850" t="s">
        <v>1464</v>
      </c>
      <c r="B468" s="455"/>
      <c r="C468" s="455"/>
      <c r="D468" s="851"/>
      <c r="E468" s="854">
        <f>SUM(E442:E467)</f>
        <v>34865473.050000004</v>
      </c>
      <c r="F468" s="854">
        <f>SUM(F442:F467)</f>
        <v>36838804.899999999</v>
      </c>
      <c r="G468" s="454">
        <f>F468+F440</f>
        <v>-17934065.090000004</v>
      </c>
    </row>
    <row r="469" spans="1:7" ht="18" hidden="1" customHeight="1" thickTop="1"/>
    <row r="470" spans="1:7" ht="15.75" hidden="1" customHeight="1">
      <c r="A470" s="454" t="s">
        <v>254</v>
      </c>
      <c r="B470" s="454" t="s">
        <v>961</v>
      </c>
      <c r="C470" s="454" t="s">
        <v>399</v>
      </c>
      <c r="D470" s="454" t="s">
        <v>982</v>
      </c>
      <c r="E470" s="454">
        <v>0</v>
      </c>
    </row>
    <row r="471" spans="1:7" hidden="1">
      <c r="A471" s="454" t="s">
        <v>255</v>
      </c>
      <c r="B471" s="454" t="s">
        <v>961</v>
      </c>
      <c r="C471" s="454" t="s">
        <v>1307</v>
      </c>
      <c r="D471" s="454" t="s">
        <v>982</v>
      </c>
      <c r="E471" s="454">
        <v>0</v>
      </c>
      <c r="F471" s="454">
        <v>566.58000000000004</v>
      </c>
    </row>
    <row r="472" spans="1:7" hidden="1">
      <c r="A472" s="454" t="s">
        <v>256</v>
      </c>
      <c r="B472" s="454" t="s">
        <v>13</v>
      </c>
      <c r="C472" s="454" t="s">
        <v>244</v>
      </c>
      <c r="D472" s="454" t="s">
        <v>982</v>
      </c>
      <c r="E472" s="454">
        <v>0</v>
      </c>
    </row>
    <row r="473" spans="1:7" hidden="1">
      <c r="A473" s="454" t="s">
        <v>257</v>
      </c>
      <c r="B473" s="454" t="s">
        <v>962</v>
      </c>
      <c r="C473" s="454" t="s">
        <v>422</v>
      </c>
      <c r="D473" s="454" t="s">
        <v>982</v>
      </c>
      <c r="E473" s="454">
        <v>0</v>
      </c>
    </row>
    <row r="474" spans="1:7" hidden="1">
      <c r="A474" s="454" t="s">
        <v>258</v>
      </c>
      <c r="B474" s="454" t="s">
        <v>962</v>
      </c>
      <c r="C474" s="454" t="s">
        <v>1303</v>
      </c>
      <c r="D474" s="454" t="s">
        <v>982</v>
      </c>
      <c r="E474" s="454">
        <v>0</v>
      </c>
      <c r="F474" s="454">
        <v>4000</v>
      </c>
    </row>
    <row r="475" spans="1:7" hidden="1">
      <c r="A475" s="454" t="s">
        <v>259</v>
      </c>
      <c r="B475" s="454" t="s">
        <v>962</v>
      </c>
      <c r="C475" s="454" t="s">
        <v>432</v>
      </c>
      <c r="D475" s="454" t="s">
        <v>982</v>
      </c>
      <c r="E475" s="454">
        <v>0</v>
      </c>
    </row>
    <row r="476" spans="1:7" hidden="1">
      <c r="A476" s="454" t="s">
        <v>260</v>
      </c>
      <c r="B476" s="454" t="s">
        <v>962</v>
      </c>
      <c r="C476" s="454" t="s">
        <v>191</v>
      </c>
      <c r="D476" s="454" t="s">
        <v>982</v>
      </c>
      <c r="E476" s="454">
        <v>0</v>
      </c>
    </row>
    <row r="477" spans="1:7" ht="14.25" hidden="1" thickTop="1" thickBot="1">
      <c r="A477" s="456"/>
      <c r="B477" s="456"/>
      <c r="C477" s="456"/>
      <c r="D477" s="456"/>
      <c r="E477" s="854">
        <f>SUM(E470:E476)</f>
        <v>0</v>
      </c>
      <c r="F477" s="854">
        <f>SUM(F470:F476)</f>
        <v>4566.58</v>
      </c>
    </row>
    <row r="478" spans="1:7" hidden="1"/>
    <row r="479" spans="1:7">
      <c r="A479" s="454" t="s">
        <v>261</v>
      </c>
      <c r="B479" s="454" t="s">
        <v>960</v>
      </c>
      <c r="C479" s="454" t="s">
        <v>396</v>
      </c>
      <c r="D479" s="454" t="s">
        <v>983</v>
      </c>
      <c r="E479" s="454">
        <v>0</v>
      </c>
    </row>
    <row r="480" spans="1:7" hidden="1">
      <c r="A480" s="454" t="s">
        <v>262</v>
      </c>
      <c r="B480" s="454" t="s">
        <v>961</v>
      </c>
      <c r="C480" s="454" t="s">
        <v>366</v>
      </c>
      <c r="D480" s="454" t="s">
        <v>983</v>
      </c>
      <c r="E480" s="454">
        <v>0</v>
      </c>
    </row>
    <row r="481" spans="1:6" hidden="1">
      <c r="A481" s="454" t="s">
        <v>263</v>
      </c>
      <c r="B481" s="454" t="s">
        <v>962</v>
      </c>
      <c r="C481" s="454" t="s">
        <v>416</v>
      </c>
      <c r="D481" s="454" t="s">
        <v>983</v>
      </c>
      <c r="E481" s="454">
        <v>2446.89</v>
      </c>
      <c r="F481" s="454">
        <v>1755</v>
      </c>
    </row>
    <row r="482" spans="1:6" hidden="1">
      <c r="A482" s="454" t="s">
        <v>264</v>
      </c>
      <c r="B482" s="454" t="s">
        <v>962</v>
      </c>
      <c r="C482" s="454" t="s">
        <v>1303</v>
      </c>
      <c r="D482" s="454" t="s">
        <v>983</v>
      </c>
      <c r="E482" s="454">
        <v>0</v>
      </c>
      <c r="F482" s="454">
        <v>3485.97</v>
      </c>
    </row>
    <row r="483" spans="1:6" hidden="1">
      <c r="A483" s="454" t="s">
        <v>265</v>
      </c>
      <c r="B483" s="454" t="s">
        <v>962</v>
      </c>
      <c r="C483" s="454" t="s">
        <v>432</v>
      </c>
      <c r="D483" s="454" t="s">
        <v>983</v>
      </c>
      <c r="E483" s="454">
        <v>0</v>
      </c>
    </row>
    <row r="484" spans="1:6" hidden="1">
      <c r="A484" s="454" t="s">
        <v>266</v>
      </c>
      <c r="B484" s="454" t="s">
        <v>962</v>
      </c>
      <c r="C484" s="454" t="s">
        <v>191</v>
      </c>
      <c r="D484" s="454" t="s">
        <v>983</v>
      </c>
      <c r="E484" s="454">
        <v>0</v>
      </c>
    </row>
    <row r="485" spans="1:6" ht="14.25" hidden="1" thickTop="1" thickBot="1">
      <c r="A485" s="850" t="s">
        <v>1464</v>
      </c>
      <c r="B485" s="455"/>
      <c r="C485" s="455"/>
      <c r="D485" s="851"/>
      <c r="E485" s="854">
        <f>SUM(E479:E484)</f>
        <v>2446.89</v>
      </c>
      <c r="F485" s="854">
        <f>SUM(F479:F484)</f>
        <v>5240.9699999999993</v>
      </c>
    </row>
    <row r="486" spans="1:6" hidden="1"/>
    <row r="487" spans="1:6" hidden="1">
      <c r="A487" s="454" t="s">
        <v>267</v>
      </c>
      <c r="B487" s="454" t="s">
        <v>958</v>
      </c>
      <c r="C487" s="454" t="s">
        <v>59</v>
      </c>
      <c r="D487" s="454" t="s">
        <v>330</v>
      </c>
      <c r="E487" s="454">
        <v>155507.85</v>
      </c>
      <c r="F487" s="454">
        <v>173881.47</v>
      </c>
    </row>
    <row r="488" spans="1:6" hidden="1">
      <c r="A488" s="454" t="s">
        <v>268</v>
      </c>
      <c r="B488" s="454" t="s">
        <v>958</v>
      </c>
      <c r="C488" s="454" t="s">
        <v>51</v>
      </c>
      <c r="D488" s="454" t="s">
        <v>330</v>
      </c>
      <c r="E488" s="454">
        <v>12408.69</v>
      </c>
      <c r="F488" s="454">
        <v>14466.75</v>
      </c>
    </row>
    <row r="489" spans="1:6" hidden="1">
      <c r="A489" s="454" t="s">
        <v>1499</v>
      </c>
      <c r="B489" s="454" t="s">
        <v>958</v>
      </c>
      <c r="C489" s="454" t="s">
        <v>517</v>
      </c>
      <c r="D489" s="454" t="s">
        <v>330</v>
      </c>
      <c r="E489" s="454">
        <v>3831.18</v>
      </c>
      <c r="F489" s="454">
        <v>3396.24</v>
      </c>
    </row>
    <row r="490" spans="1:6" hidden="1">
      <c r="A490" s="454" t="s">
        <v>1500</v>
      </c>
      <c r="B490" s="454" t="s">
        <v>958</v>
      </c>
      <c r="C490" s="454" t="s">
        <v>66</v>
      </c>
      <c r="D490" s="454" t="s">
        <v>330</v>
      </c>
      <c r="E490" s="454">
        <v>38376.720000000001</v>
      </c>
      <c r="F490" s="454">
        <v>38376.720000000001</v>
      </c>
    </row>
    <row r="491" spans="1:6" hidden="1">
      <c r="A491" s="454" t="s">
        <v>269</v>
      </c>
      <c r="B491" s="454" t="s">
        <v>958</v>
      </c>
      <c r="C491" s="454" t="s">
        <v>385</v>
      </c>
      <c r="D491" s="454" t="s">
        <v>330</v>
      </c>
      <c r="E491" s="454">
        <v>19504.8</v>
      </c>
      <c r="F491" s="454">
        <v>19519.2</v>
      </c>
    </row>
    <row r="492" spans="1:6" hidden="1">
      <c r="A492" s="454" t="s">
        <v>270</v>
      </c>
      <c r="B492" s="454" t="s">
        <v>958</v>
      </c>
      <c r="C492" s="454" t="s">
        <v>385</v>
      </c>
      <c r="D492" s="454" t="s">
        <v>330</v>
      </c>
      <c r="E492" s="454">
        <v>33732.629999999997</v>
      </c>
      <c r="F492" s="454">
        <v>38253.980000000003</v>
      </c>
    </row>
    <row r="493" spans="1:6" hidden="1">
      <c r="A493" s="454" t="s">
        <v>271</v>
      </c>
      <c r="B493" s="454" t="s">
        <v>958</v>
      </c>
      <c r="C493" s="454" t="s">
        <v>385</v>
      </c>
      <c r="D493" s="454" t="s">
        <v>330</v>
      </c>
      <c r="E493" s="454">
        <v>1497.36</v>
      </c>
      <c r="F493" s="454">
        <v>1497.36</v>
      </c>
    </row>
    <row r="494" spans="1:6" hidden="1">
      <c r="A494" s="454" t="s">
        <v>272</v>
      </c>
      <c r="B494" s="454" t="s">
        <v>958</v>
      </c>
      <c r="C494" s="454" t="s">
        <v>385</v>
      </c>
      <c r="D494" s="454" t="s">
        <v>330</v>
      </c>
      <c r="E494" s="454">
        <v>2312.67</v>
      </c>
      <c r="F494" s="454">
        <v>2638.68</v>
      </c>
    </row>
    <row r="495" spans="1:6" hidden="1">
      <c r="A495" s="454" t="s">
        <v>273</v>
      </c>
      <c r="B495" s="454" t="s">
        <v>958</v>
      </c>
      <c r="C495" s="454" t="s">
        <v>1114</v>
      </c>
      <c r="D495" s="454" t="s">
        <v>330</v>
      </c>
      <c r="E495" s="454">
        <v>45</v>
      </c>
      <c r="F495" s="454">
        <v>49.2</v>
      </c>
    </row>
    <row r="496" spans="1:6" hidden="1">
      <c r="A496" s="454" t="s">
        <v>2366</v>
      </c>
      <c r="B496" s="454" t="s">
        <v>962</v>
      </c>
      <c r="C496" s="454" t="s">
        <v>2528</v>
      </c>
      <c r="D496" s="454" t="s">
        <v>330</v>
      </c>
      <c r="F496" s="454">
        <v>2780</v>
      </c>
    </row>
    <row r="497" spans="1:6" hidden="1">
      <c r="A497" s="454" t="s">
        <v>275</v>
      </c>
      <c r="B497" s="454" t="s">
        <v>962</v>
      </c>
      <c r="C497" s="454" t="s">
        <v>41</v>
      </c>
      <c r="D497" s="454" t="s">
        <v>330</v>
      </c>
      <c r="E497" s="454">
        <v>166189.49</v>
      </c>
      <c r="F497" s="454">
        <v>146330.16</v>
      </c>
    </row>
    <row r="498" spans="1:6" ht="14.25" hidden="1" thickTop="1" thickBot="1">
      <c r="A498" s="850" t="s">
        <v>1464</v>
      </c>
      <c r="B498" s="455"/>
      <c r="C498" s="455"/>
      <c r="D498" s="851"/>
      <c r="E498" s="854">
        <f>SUM(E487:E497)</f>
        <v>433406.38999999996</v>
      </c>
      <c r="F498" s="854">
        <f>SUM(F487:F497)</f>
        <v>441189.76</v>
      </c>
    </row>
    <row r="499" spans="1:6" hidden="1"/>
    <row r="500" spans="1:6" hidden="1">
      <c r="A500" s="454" t="s">
        <v>897</v>
      </c>
      <c r="B500" s="454" t="s">
        <v>962</v>
      </c>
      <c r="C500" s="454" t="s">
        <v>410</v>
      </c>
      <c r="D500" s="454" t="s">
        <v>333</v>
      </c>
      <c r="E500" s="454">
        <v>4215.54</v>
      </c>
    </row>
    <row r="501" spans="1:6" hidden="1">
      <c r="A501" s="454" t="s">
        <v>898</v>
      </c>
      <c r="B501" s="454" t="s">
        <v>962</v>
      </c>
      <c r="C501" s="454" t="s">
        <v>432</v>
      </c>
      <c r="D501" s="454" t="s">
        <v>333</v>
      </c>
      <c r="E501" s="454">
        <v>30438.09</v>
      </c>
      <c r="F501" s="454">
        <v>2056.33</v>
      </c>
    </row>
    <row r="502" spans="1:6" hidden="1">
      <c r="A502" s="454" t="s">
        <v>899</v>
      </c>
      <c r="B502" s="454" t="s">
        <v>962</v>
      </c>
      <c r="C502" s="454" t="s">
        <v>41</v>
      </c>
      <c r="D502" s="454" t="s">
        <v>333</v>
      </c>
      <c r="E502" s="454">
        <v>27544.85</v>
      </c>
      <c r="F502" s="454">
        <v>68509.97</v>
      </c>
    </row>
    <row r="503" spans="1:6" ht="14.25" hidden="1" thickTop="1" thickBot="1">
      <c r="A503" s="850" t="s">
        <v>1464</v>
      </c>
      <c r="B503" s="848"/>
      <c r="C503" s="849"/>
      <c r="D503" s="851"/>
      <c r="E503" s="854">
        <f>SUM(E500:E502)</f>
        <v>62198.479999999996</v>
      </c>
      <c r="F503" s="854">
        <f>SUM(F500:F502)</f>
        <v>70566.3</v>
      </c>
    </row>
    <row r="504" spans="1:6" hidden="1"/>
    <row r="505" spans="1:6" hidden="1">
      <c r="A505" s="454" t="s">
        <v>903</v>
      </c>
      <c r="B505" s="454" t="s">
        <v>962</v>
      </c>
      <c r="C505" s="454" t="s">
        <v>432</v>
      </c>
      <c r="D505" s="454" t="s">
        <v>789</v>
      </c>
      <c r="E505" s="454">
        <v>246.97</v>
      </c>
      <c r="F505" s="454">
        <v>0</v>
      </c>
    </row>
    <row r="506" spans="1:6" hidden="1">
      <c r="A506" s="454" t="s">
        <v>905</v>
      </c>
      <c r="B506" s="454" t="s">
        <v>962</v>
      </c>
      <c r="C506" s="454" t="s">
        <v>41</v>
      </c>
      <c r="D506" s="454" t="s">
        <v>789</v>
      </c>
      <c r="E506" s="454">
        <v>457.14</v>
      </c>
      <c r="F506" s="454">
        <v>0</v>
      </c>
    </row>
    <row r="507" spans="1:6" ht="14.25" hidden="1" thickTop="1" thickBot="1">
      <c r="A507" s="850" t="s">
        <v>1464</v>
      </c>
      <c r="B507" s="455"/>
      <c r="C507" s="455"/>
      <c r="D507" s="851"/>
      <c r="E507" s="856">
        <f>SUM(E505:E506)</f>
        <v>704.11</v>
      </c>
      <c r="F507" s="856">
        <f>SUM(F505:F506)</f>
        <v>0</v>
      </c>
    </row>
    <row r="508" spans="1:6" hidden="1"/>
    <row r="509" spans="1:6" hidden="1">
      <c r="A509" s="454" t="s">
        <v>908</v>
      </c>
      <c r="B509" s="454" t="s">
        <v>962</v>
      </c>
      <c r="C509" s="454" t="s">
        <v>412</v>
      </c>
      <c r="D509" s="454" t="s">
        <v>984</v>
      </c>
      <c r="E509" s="454">
        <v>3085</v>
      </c>
    </row>
    <row r="510" spans="1:6" hidden="1">
      <c r="A510" s="454" t="s">
        <v>909</v>
      </c>
      <c r="B510" s="454" t="s">
        <v>962</v>
      </c>
      <c r="C510" s="454" t="s">
        <v>416</v>
      </c>
      <c r="D510" s="454" t="s">
        <v>984</v>
      </c>
      <c r="F510" s="454">
        <v>2500</v>
      </c>
    </row>
    <row r="511" spans="1:6" hidden="1">
      <c r="A511" s="454" t="s">
        <v>913</v>
      </c>
      <c r="B511" s="454" t="s">
        <v>962</v>
      </c>
      <c r="C511" s="454" t="s">
        <v>41</v>
      </c>
      <c r="D511" s="454" t="s">
        <v>984</v>
      </c>
      <c r="E511" s="454">
        <v>3030.67</v>
      </c>
      <c r="F511" s="454">
        <v>7522.64</v>
      </c>
    </row>
    <row r="512" spans="1:6" ht="14.25" hidden="1" thickTop="1" thickBot="1">
      <c r="A512" s="850" t="s">
        <v>1464</v>
      </c>
      <c r="B512" s="455"/>
      <c r="C512" s="455"/>
      <c r="D512" s="851"/>
      <c r="E512" s="856">
        <f>SUM(E509:E511)</f>
        <v>6115.67</v>
      </c>
      <c r="F512" s="856">
        <f>SUM(F509:F511)</f>
        <v>10022.64</v>
      </c>
    </row>
    <row r="513" spans="1:6" hidden="1"/>
    <row r="514" spans="1:6" hidden="1">
      <c r="A514" s="454" t="s">
        <v>916</v>
      </c>
      <c r="B514" s="454" t="s">
        <v>962</v>
      </c>
      <c r="C514" s="454" t="s">
        <v>412</v>
      </c>
      <c r="D514" s="454" t="s">
        <v>985</v>
      </c>
      <c r="E514" s="454">
        <v>981</v>
      </c>
    </row>
    <row r="515" spans="1:6" hidden="1">
      <c r="A515" s="454" t="s">
        <v>920</v>
      </c>
      <c r="B515" s="454" t="s">
        <v>962</v>
      </c>
      <c r="C515" s="454" t="s">
        <v>191</v>
      </c>
      <c r="D515" s="454" t="s">
        <v>985</v>
      </c>
      <c r="E515" s="454">
        <v>550</v>
      </c>
    </row>
    <row r="516" spans="1:6" hidden="1">
      <c r="A516" s="454" t="s">
        <v>921</v>
      </c>
      <c r="B516" s="454" t="s">
        <v>962</v>
      </c>
      <c r="C516" s="454" t="s">
        <v>41</v>
      </c>
      <c r="D516" s="454" t="s">
        <v>985</v>
      </c>
      <c r="E516" s="454">
        <v>3671.58</v>
      </c>
    </row>
    <row r="517" spans="1:6" ht="14.25" hidden="1" thickTop="1" thickBot="1">
      <c r="A517" s="850" t="s">
        <v>1464</v>
      </c>
      <c r="B517" s="455"/>
      <c r="C517" s="455"/>
      <c r="D517" s="851"/>
      <c r="E517" s="856">
        <f>SUM(E514:E516)</f>
        <v>5202.58</v>
      </c>
      <c r="F517" s="856">
        <f>SUM(F514:F516)</f>
        <v>0</v>
      </c>
    </row>
    <row r="518" spans="1:6" hidden="1"/>
    <row r="519" spans="1:6" hidden="1">
      <c r="A519" s="454" t="s">
        <v>1794</v>
      </c>
      <c r="E519" s="454">
        <v>-14819.44</v>
      </c>
    </row>
    <row r="520" spans="1:6" hidden="1">
      <c r="A520" s="454" t="s">
        <v>924</v>
      </c>
      <c r="B520" s="454" t="s">
        <v>25</v>
      </c>
      <c r="C520" s="454" t="s">
        <v>925</v>
      </c>
      <c r="D520" s="454" t="s">
        <v>986</v>
      </c>
      <c r="E520" s="454">
        <v>-2343576.65</v>
      </c>
      <c r="F520" s="454">
        <v>-2361495.7999999998</v>
      </c>
    </row>
    <row r="521" spans="1:6" hidden="1">
      <c r="A521" s="454" t="s">
        <v>926</v>
      </c>
      <c r="B521" s="454" t="s">
        <v>26</v>
      </c>
      <c r="C521" s="454" t="s">
        <v>784</v>
      </c>
      <c r="D521" s="454" t="s">
        <v>986</v>
      </c>
      <c r="E521" s="454">
        <v>-444496</v>
      </c>
      <c r="F521" s="454">
        <v>-1302820</v>
      </c>
    </row>
    <row r="522" spans="1:6" ht="14.25" hidden="1" thickTop="1" thickBot="1">
      <c r="A522" s="850" t="s">
        <v>1464</v>
      </c>
      <c r="B522" s="455"/>
      <c r="C522" s="455"/>
      <c r="D522" s="851"/>
      <c r="E522" s="856">
        <f>SUM(E519:E521)</f>
        <v>-2802892.09</v>
      </c>
      <c r="F522" s="856">
        <f>SUM(F519:F521)</f>
        <v>-3664315.8</v>
      </c>
    </row>
    <row r="523" spans="1:6" hidden="1"/>
    <row r="524" spans="1:6" hidden="1">
      <c r="A524" s="454" t="s">
        <v>927</v>
      </c>
      <c r="B524" s="454" t="s">
        <v>958</v>
      </c>
      <c r="C524" s="454" t="s">
        <v>59</v>
      </c>
      <c r="D524" s="454" t="s">
        <v>986</v>
      </c>
      <c r="E524" s="454">
        <v>1867931.09</v>
      </c>
      <c r="F524" s="454">
        <v>3570097.96</v>
      </c>
    </row>
    <row r="525" spans="1:6" hidden="1">
      <c r="A525" s="454" t="s">
        <v>928</v>
      </c>
      <c r="B525" s="454" t="s">
        <v>958</v>
      </c>
      <c r="C525" s="454" t="s">
        <v>61</v>
      </c>
      <c r="D525" s="454" t="s">
        <v>986</v>
      </c>
      <c r="E525" s="454">
        <v>175363.77</v>
      </c>
      <c r="F525" s="454">
        <v>572956.72</v>
      </c>
    </row>
    <row r="526" spans="1:6" hidden="1">
      <c r="A526" s="454" t="s">
        <v>929</v>
      </c>
      <c r="B526" s="454" t="s">
        <v>958</v>
      </c>
      <c r="C526" s="454" t="s">
        <v>51</v>
      </c>
      <c r="D526" s="454" t="s">
        <v>986</v>
      </c>
      <c r="E526" s="454">
        <v>160134.35999999999</v>
      </c>
      <c r="F526" s="454">
        <v>233940.27</v>
      </c>
    </row>
    <row r="527" spans="1:6" hidden="1">
      <c r="A527" s="454" t="s">
        <v>930</v>
      </c>
      <c r="B527" s="454" t="s">
        <v>958</v>
      </c>
      <c r="C527" s="454" t="s">
        <v>890</v>
      </c>
      <c r="D527" s="454" t="s">
        <v>986</v>
      </c>
      <c r="E527" s="454">
        <v>43820.45</v>
      </c>
      <c r="F527" s="454">
        <v>60804.63</v>
      </c>
    </row>
    <row r="528" spans="1:6" hidden="1">
      <c r="A528" s="454" t="s">
        <v>931</v>
      </c>
      <c r="B528" s="454" t="s">
        <v>958</v>
      </c>
      <c r="C528" s="454" t="s">
        <v>364</v>
      </c>
      <c r="D528" s="454" t="s">
        <v>986</v>
      </c>
      <c r="E528" s="454">
        <v>88819.19</v>
      </c>
      <c r="F528" s="454">
        <v>98878.49</v>
      </c>
    </row>
    <row r="529" spans="1:6" hidden="1">
      <c r="A529" s="454" t="s">
        <v>932</v>
      </c>
      <c r="B529" s="454" t="s">
        <v>958</v>
      </c>
      <c r="C529" s="454" t="s">
        <v>517</v>
      </c>
      <c r="D529" s="454" t="s">
        <v>986</v>
      </c>
      <c r="E529" s="454">
        <v>17367</v>
      </c>
      <c r="F529" s="454">
        <v>26556</v>
      </c>
    </row>
    <row r="530" spans="1:6" hidden="1">
      <c r="A530" s="454" t="s">
        <v>933</v>
      </c>
      <c r="B530" s="454" t="s">
        <v>958</v>
      </c>
      <c r="C530" s="454" t="s">
        <v>66</v>
      </c>
      <c r="D530" s="454" t="s">
        <v>986</v>
      </c>
      <c r="E530" s="454">
        <v>203665.76</v>
      </c>
      <c r="F530" s="454">
        <v>219346.81</v>
      </c>
    </row>
    <row r="531" spans="1:6" hidden="1">
      <c r="A531" s="454" t="s">
        <v>934</v>
      </c>
      <c r="B531" s="454" t="s">
        <v>958</v>
      </c>
      <c r="C531" s="454" t="s">
        <v>2511</v>
      </c>
      <c r="D531" s="454" t="s">
        <v>986</v>
      </c>
      <c r="F531" s="454">
        <v>770</v>
      </c>
    </row>
    <row r="532" spans="1:6" hidden="1">
      <c r="A532" s="454" t="s">
        <v>935</v>
      </c>
      <c r="B532" s="454" t="s">
        <v>958</v>
      </c>
      <c r="C532" s="454" t="s">
        <v>394</v>
      </c>
      <c r="D532" s="454" t="s">
        <v>986</v>
      </c>
      <c r="E532" s="454">
        <v>153788.4</v>
      </c>
      <c r="F532" s="454">
        <v>181784.4</v>
      </c>
    </row>
    <row r="533" spans="1:6" hidden="1">
      <c r="A533" s="454" t="s">
        <v>936</v>
      </c>
      <c r="B533" s="454" t="s">
        <v>958</v>
      </c>
      <c r="C533" s="454" t="s">
        <v>394</v>
      </c>
      <c r="D533" s="454" t="s">
        <v>986</v>
      </c>
      <c r="E533" s="454">
        <v>316852.62</v>
      </c>
      <c r="F533" s="454">
        <v>678952.74</v>
      </c>
    </row>
    <row r="534" spans="1:6" hidden="1">
      <c r="A534" s="454" t="s">
        <v>937</v>
      </c>
      <c r="B534" s="454" t="s">
        <v>958</v>
      </c>
      <c r="C534" s="454" t="s">
        <v>394</v>
      </c>
      <c r="D534" s="454" t="s">
        <v>986</v>
      </c>
      <c r="E534" s="454">
        <v>16444.099999999999</v>
      </c>
      <c r="F534" s="454">
        <v>36179.160000000003</v>
      </c>
    </row>
    <row r="535" spans="1:6" hidden="1">
      <c r="A535" s="454" t="s">
        <v>938</v>
      </c>
      <c r="B535" s="454" t="s">
        <v>958</v>
      </c>
      <c r="C535" s="454" t="s">
        <v>394</v>
      </c>
      <c r="D535" s="454" t="s">
        <v>986</v>
      </c>
      <c r="E535" s="454">
        <v>14042.13</v>
      </c>
      <c r="F535" s="454">
        <v>37398.47</v>
      </c>
    </row>
    <row r="536" spans="1:6" hidden="1">
      <c r="A536" s="454" t="s">
        <v>939</v>
      </c>
      <c r="B536" s="454" t="s">
        <v>958</v>
      </c>
      <c r="C536" s="454" t="s">
        <v>1114</v>
      </c>
      <c r="D536" s="454" t="s">
        <v>986</v>
      </c>
      <c r="E536" s="454">
        <v>765</v>
      </c>
      <c r="F536" s="454">
        <v>1594.9</v>
      </c>
    </row>
    <row r="537" spans="1:6">
      <c r="A537" s="454" t="s">
        <v>940</v>
      </c>
      <c r="B537" s="454" t="s">
        <v>960</v>
      </c>
      <c r="C537" s="454" t="s">
        <v>396</v>
      </c>
      <c r="D537" s="454" t="s">
        <v>986</v>
      </c>
      <c r="E537" s="454">
        <v>110529.98</v>
      </c>
      <c r="F537" s="454">
        <v>145166.18</v>
      </c>
    </row>
    <row r="538" spans="1:6" hidden="1">
      <c r="A538" s="454" t="s">
        <v>941</v>
      </c>
      <c r="B538" s="454" t="s">
        <v>961</v>
      </c>
      <c r="C538" s="454" t="s">
        <v>399</v>
      </c>
      <c r="D538" s="454" t="s">
        <v>986</v>
      </c>
      <c r="E538" s="454">
        <v>12628.51</v>
      </c>
      <c r="F538" s="454">
        <v>3436.58</v>
      </c>
    </row>
    <row r="539" spans="1:6" hidden="1">
      <c r="A539" s="454" t="s">
        <v>942</v>
      </c>
      <c r="B539" s="454" t="s">
        <v>961</v>
      </c>
      <c r="C539" s="454" t="s">
        <v>784</v>
      </c>
      <c r="D539" s="454" t="s">
        <v>986</v>
      </c>
      <c r="E539" s="454">
        <v>154176.53</v>
      </c>
      <c r="F539" s="454">
        <v>32462.47</v>
      </c>
    </row>
    <row r="540" spans="1:6" hidden="1">
      <c r="A540" s="454" t="s">
        <v>944</v>
      </c>
      <c r="B540" s="454" t="s">
        <v>961</v>
      </c>
      <c r="C540" s="454" t="s">
        <v>366</v>
      </c>
      <c r="D540" s="454" t="s">
        <v>986</v>
      </c>
      <c r="E540" s="454">
        <v>3821.73</v>
      </c>
      <c r="F540" s="454">
        <v>24597.77</v>
      </c>
    </row>
    <row r="541" spans="1:6" hidden="1">
      <c r="A541" s="454" t="s">
        <v>945</v>
      </c>
      <c r="B541" s="454" t="s">
        <v>1339</v>
      </c>
      <c r="C541" s="454" t="s">
        <v>1296</v>
      </c>
      <c r="D541" s="454" t="s">
        <v>986</v>
      </c>
      <c r="E541" s="454">
        <v>33699.43</v>
      </c>
      <c r="F541" s="454">
        <v>11524.69</v>
      </c>
    </row>
    <row r="542" spans="1:6" hidden="1">
      <c r="A542" s="454" t="s">
        <v>946</v>
      </c>
      <c r="B542" s="454" t="s">
        <v>962</v>
      </c>
      <c r="C542" s="454" t="s">
        <v>412</v>
      </c>
      <c r="D542" s="454" t="s">
        <v>986</v>
      </c>
      <c r="E542" s="454">
        <v>17160.96</v>
      </c>
    </row>
    <row r="543" spans="1:6" hidden="1">
      <c r="A543" s="454" t="s">
        <v>947</v>
      </c>
      <c r="B543" s="454" t="s">
        <v>962</v>
      </c>
      <c r="C543" s="454" t="s">
        <v>416</v>
      </c>
      <c r="D543" s="454" t="s">
        <v>986</v>
      </c>
      <c r="E543" s="454">
        <v>2698.13</v>
      </c>
      <c r="F543" s="454">
        <v>10642.78</v>
      </c>
    </row>
    <row r="544" spans="1:6" hidden="1">
      <c r="A544" s="454" t="s">
        <v>948</v>
      </c>
      <c r="B544" s="454" t="s">
        <v>962</v>
      </c>
      <c r="C544" s="454" t="s">
        <v>422</v>
      </c>
      <c r="D544" s="454" t="s">
        <v>986</v>
      </c>
      <c r="E544" s="454">
        <v>84842.67</v>
      </c>
      <c r="F544" s="454">
        <v>137255.09</v>
      </c>
    </row>
    <row r="545" spans="1:7" hidden="1">
      <c r="A545" s="454" t="s">
        <v>949</v>
      </c>
      <c r="B545" s="454" t="s">
        <v>962</v>
      </c>
      <c r="C545" s="454" t="s">
        <v>1303</v>
      </c>
      <c r="D545" s="454" t="s">
        <v>986</v>
      </c>
      <c r="E545" s="454">
        <v>3023.67</v>
      </c>
      <c r="F545" s="454">
        <v>26589.1</v>
      </c>
    </row>
    <row r="546" spans="1:7" hidden="1">
      <c r="A546" s="454" t="s">
        <v>950</v>
      </c>
      <c r="B546" s="454" t="s">
        <v>962</v>
      </c>
      <c r="C546" s="454" t="s">
        <v>424</v>
      </c>
      <c r="D546" s="454" t="s">
        <v>986</v>
      </c>
      <c r="E546" s="454">
        <v>1555</v>
      </c>
      <c r="F546" s="454">
        <v>6431.5</v>
      </c>
    </row>
    <row r="547" spans="1:7" hidden="1">
      <c r="A547" s="454" t="s">
        <v>951</v>
      </c>
      <c r="B547" s="454" t="s">
        <v>962</v>
      </c>
      <c r="C547" s="454" t="s">
        <v>430</v>
      </c>
      <c r="D547" s="454" t="s">
        <v>986</v>
      </c>
      <c r="E547" s="454">
        <v>3401.51</v>
      </c>
      <c r="F547" s="454">
        <v>9486.4699999999993</v>
      </c>
    </row>
    <row r="548" spans="1:7" hidden="1">
      <c r="A548" s="454" t="s">
        <v>952</v>
      </c>
      <c r="B548" s="454" t="s">
        <v>962</v>
      </c>
      <c r="C548" s="454" t="s">
        <v>432</v>
      </c>
      <c r="D548" s="454" t="s">
        <v>986</v>
      </c>
      <c r="E548" s="454">
        <v>64397.73</v>
      </c>
      <c r="F548" s="454">
        <v>117850.86</v>
      </c>
    </row>
    <row r="549" spans="1:7" hidden="1">
      <c r="A549" s="454" t="s">
        <v>953</v>
      </c>
      <c r="B549" s="454" t="s">
        <v>962</v>
      </c>
      <c r="C549" s="454" t="s">
        <v>191</v>
      </c>
      <c r="D549" s="454" t="s">
        <v>986</v>
      </c>
      <c r="E549" s="454">
        <v>21646.55</v>
      </c>
      <c r="F549" s="454">
        <v>52967.03</v>
      </c>
    </row>
    <row r="550" spans="1:7" hidden="1">
      <c r="A550" s="454" t="s">
        <v>954</v>
      </c>
      <c r="B550" s="454" t="s">
        <v>962</v>
      </c>
      <c r="C550" s="454" t="s">
        <v>41</v>
      </c>
      <c r="D550" s="454" t="s">
        <v>986</v>
      </c>
      <c r="E550" s="454">
        <v>123330.38</v>
      </c>
      <c r="F550" s="454">
        <v>152071.45000000001</v>
      </c>
    </row>
    <row r="551" spans="1:7" hidden="1">
      <c r="A551" s="454" t="s">
        <v>955</v>
      </c>
      <c r="B551" s="454" t="s">
        <v>962</v>
      </c>
      <c r="C551" s="454" t="s">
        <v>43</v>
      </c>
      <c r="D551" s="454" t="s">
        <v>986</v>
      </c>
      <c r="E551" s="454">
        <v>20445.560000000001</v>
      </c>
      <c r="F551" s="454">
        <v>25935.63</v>
      </c>
    </row>
    <row r="552" spans="1:7" hidden="1">
      <c r="A552" s="454" t="s">
        <v>956</v>
      </c>
      <c r="B552" s="454" t="s">
        <v>962</v>
      </c>
      <c r="C552" s="454" t="s">
        <v>43</v>
      </c>
      <c r="D552" s="454" t="s">
        <v>986</v>
      </c>
      <c r="E552" s="454">
        <v>76030.210000000006</v>
      </c>
      <c r="F552" s="454">
        <v>18880.75</v>
      </c>
    </row>
    <row r="553" spans="1:7" hidden="1">
      <c r="A553" s="454" t="s">
        <v>2398</v>
      </c>
      <c r="B553" s="454" t="s">
        <v>962</v>
      </c>
      <c r="C553" s="454" t="s">
        <v>2529</v>
      </c>
      <c r="D553" s="454" t="s">
        <v>986</v>
      </c>
      <c r="E553" s="454">
        <v>321096</v>
      </c>
      <c r="F553" s="454">
        <v>360765.9</v>
      </c>
    </row>
    <row r="554" spans="1:7" hidden="1">
      <c r="A554" s="454" t="s">
        <v>2399</v>
      </c>
      <c r="B554" s="454" t="s">
        <v>962</v>
      </c>
      <c r="C554" s="454" t="s">
        <v>1915</v>
      </c>
      <c r="D554" s="454" t="s">
        <v>986</v>
      </c>
      <c r="E554" s="454">
        <v>376950.47</v>
      </c>
      <c r="F554" s="454">
        <v>117515.5</v>
      </c>
    </row>
    <row r="555" spans="1:7" ht="14.25" hidden="1" thickTop="1" thickBot="1">
      <c r="A555" s="850" t="s">
        <v>1464</v>
      </c>
      <c r="B555" s="455"/>
      <c r="C555" s="455"/>
      <c r="D555" s="455"/>
      <c r="E555" s="857">
        <f>SUM(E524:E554)</f>
        <v>4490428.8899999987</v>
      </c>
      <c r="F555" s="857">
        <f>SUM(F524:F554)</f>
        <v>6972840.2999999998</v>
      </c>
      <c r="G555" s="454">
        <f>F555+F522</f>
        <v>3308524.5</v>
      </c>
    </row>
    <row r="556" spans="1:7" hidden="1">
      <c r="E556" s="454">
        <f>SUM(E2:E555)/2</f>
        <v>14841360.199999996</v>
      </c>
      <c r="F556" s="454">
        <f>SUM(F2:F555)/2</f>
        <v>-15198325.660000021</v>
      </c>
    </row>
    <row r="557" spans="1:7" hidden="1"/>
    <row r="558" spans="1:7" hidden="1">
      <c r="E558" s="454" t="s">
        <v>2427</v>
      </c>
      <c r="F558" s="454">
        <f>F14+F149+F189+F248+F302+F315+F344+F380+F420+F440+F522</f>
        <v>-131167888.14999999</v>
      </c>
    </row>
    <row r="559" spans="1:7">
      <c r="E559" s="454" t="s">
        <v>2428</v>
      </c>
      <c r="F559" s="454">
        <f>F64+F90+F95+F110+F135+F146+F166+F182+F231+F245+F270+F298+F312+F339+F370+F413+F427+F468+F477+F485+F498+F507+F512+F555+F503</f>
        <v>115969562.48999999</v>
      </c>
    </row>
    <row r="560" spans="1:7">
      <c r="F560" s="454">
        <f>SUM(F558:F559)</f>
        <v>-15198325.659999996</v>
      </c>
    </row>
  </sheetData>
  <autoFilter ref="A1:D558">
    <filterColumn colId="1">
      <filters>
        <filter val="DEPRECIATION"/>
      </filters>
    </filterColumn>
    <filterColumn colId="2"/>
  </autoFilter>
  <phoneticPr fontId="13" type="noConversion"/>
  <printOptions horizontalCentered="1"/>
  <pageMargins left="0.78740157480314965" right="0.39370078740157483" top="0.39370078740157483" bottom="0.39370078740157483" header="0" footer="0"/>
  <pageSetup paperSize="9" scale="85" fitToHeight="35" orientation="portrait" r:id="rId1"/>
  <headerFooter alignWithMargins="0"/>
</worksheet>
</file>

<file path=xl/worksheets/sheet37.xml><?xml version="1.0" encoding="utf-8"?>
<worksheet xmlns="http://schemas.openxmlformats.org/spreadsheetml/2006/main" xmlns:r="http://schemas.openxmlformats.org/officeDocument/2006/relationships">
  <dimension ref="B1:F244"/>
  <sheetViews>
    <sheetView view="pageBreakPreview" topLeftCell="A167" zoomScale="190" zoomScaleSheetLayoutView="190" workbookViewId="0">
      <selection activeCell="A167" sqref="A1:XFD1048576"/>
    </sheetView>
  </sheetViews>
  <sheetFormatPr defaultRowHeight="12.75"/>
  <cols>
    <col min="1" max="1" width="9.140625" style="363"/>
    <col min="2" max="2" width="12.7109375" style="363" bestFit="1" customWidth="1"/>
    <col min="3" max="4" width="9.140625" style="363"/>
    <col min="5" max="5" width="16.5703125" style="363" bestFit="1" customWidth="1"/>
    <col min="6" max="6" width="15.140625" style="363" bestFit="1" customWidth="1"/>
    <col min="7" max="12" width="9.140625" style="363"/>
    <col min="13" max="13" width="12.42578125" style="363" bestFit="1" customWidth="1"/>
    <col min="14" max="16384" width="9.140625" style="363"/>
  </cols>
  <sheetData>
    <row r="1" spans="2:6">
      <c r="B1" s="363" t="s">
        <v>2111</v>
      </c>
    </row>
    <row r="3" spans="2:6">
      <c r="E3" s="125" t="s">
        <v>2108</v>
      </c>
      <c r="F3" s="125" t="s">
        <v>2109</v>
      </c>
    </row>
    <row r="4" spans="2:6">
      <c r="B4" s="454" t="s">
        <v>62</v>
      </c>
      <c r="C4" s="454" t="s">
        <v>958</v>
      </c>
      <c r="D4" s="454" t="s">
        <v>51</v>
      </c>
      <c r="E4" s="454">
        <v>141424.28</v>
      </c>
      <c r="F4" s="212">
        <v>149913.26999999999</v>
      </c>
    </row>
    <row r="5" spans="2:6">
      <c r="B5" s="454" t="s">
        <v>91</v>
      </c>
      <c r="C5" s="454" t="s">
        <v>958</v>
      </c>
      <c r="D5" s="454" t="s">
        <v>51</v>
      </c>
      <c r="E5" s="454">
        <v>90749.86</v>
      </c>
      <c r="F5" s="212">
        <v>89913.02</v>
      </c>
    </row>
    <row r="6" spans="2:6">
      <c r="B6" s="454" t="s">
        <v>126</v>
      </c>
      <c r="C6" s="454" t="s">
        <v>958</v>
      </c>
      <c r="D6" s="454" t="s">
        <v>51</v>
      </c>
      <c r="E6" s="454">
        <v>14947.06</v>
      </c>
      <c r="F6" s="212">
        <v>9126</v>
      </c>
    </row>
    <row r="7" spans="2:6">
      <c r="B7" s="454" t="s">
        <v>146</v>
      </c>
      <c r="C7" s="454" t="s">
        <v>958</v>
      </c>
      <c r="D7" s="454" t="s">
        <v>51</v>
      </c>
      <c r="E7" s="454">
        <v>16453.28</v>
      </c>
      <c r="F7" s="212">
        <v>18252</v>
      </c>
    </row>
    <row r="8" spans="2:6">
      <c r="B8" s="454" t="s">
        <v>168</v>
      </c>
      <c r="C8" s="454" t="s">
        <v>958</v>
      </c>
      <c r="D8" s="454" t="s">
        <v>51</v>
      </c>
      <c r="E8" s="454">
        <v>194551.28</v>
      </c>
      <c r="F8" s="212">
        <v>219410.78</v>
      </c>
    </row>
    <row r="9" spans="2:6">
      <c r="B9" s="454" t="s">
        <v>204</v>
      </c>
      <c r="C9" s="454" t="s">
        <v>958</v>
      </c>
      <c r="D9" s="454" t="s">
        <v>51</v>
      </c>
      <c r="E9" s="454">
        <v>5011.25</v>
      </c>
      <c r="F9" s="212">
        <v>5854.24</v>
      </c>
    </row>
    <row r="10" spans="2:6">
      <c r="B10" s="454" t="s">
        <v>212</v>
      </c>
      <c r="C10" s="454" t="s">
        <v>958</v>
      </c>
      <c r="D10" s="454" t="s">
        <v>51</v>
      </c>
      <c r="E10" s="454">
        <v>14049.9</v>
      </c>
      <c r="F10" s="212">
        <v>15586.17</v>
      </c>
    </row>
    <row r="11" spans="2:6">
      <c r="B11" s="454" t="s">
        <v>855</v>
      </c>
      <c r="C11" s="454" t="s">
        <v>958</v>
      </c>
      <c r="D11" s="454" t="s">
        <v>51</v>
      </c>
      <c r="E11" s="454">
        <v>132661.6</v>
      </c>
      <c r="F11" s="212">
        <v>132643.49</v>
      </c>
    </row>
    <row r="12" spans="2:6">
      <c r="B12" s="454" t="s">
        <v>876</v>
      </c>
      <c r="C12" s="454" t="s">
        <v>958</v>
      </c>
      <c r="D12" s="454" t="s">
        <v>51</v>
      </c>
      <c r="E12" s="454">
        <v>11889.65</v>
      </c>
      <c r="F12" s="212">
        <v>12294.34</v>
      </c>
    </row>
    <row r="13" spans="2:6">
      <c r="B13" s="454" t="s">
        <v>889</v>
      </c>
      <c r="C13" s="454" t="s">
        <v>958</v>
      </c>
      <c r="D13" s="454" t="s">
        <v>51</v>
      </c>
      <c r="E13" s="454">
        <v>143052.15</v>
      </c>
      <c r="F13" s="212">
        <v>148221.43</v>
      </c>
    </row>
    <row r="14" spans="2:6">
      <c r="B14" s="454" t="s">
        <v>764</v>
      </c>
      <c r="C14" s="454" t="s">
        <v>958</v>
      </c>
      <c r="D14" s="454" t="s">
        <v>51</v>
      </c>
      <c r="E14" s="454">
        <v>51951.23</v>
      </c>
      <c r="F14" s="212">
        <v>64100.11</v>
      </c>
    </row>
    <row r="15" spans="2:6">
      <c r="B15" s="454" t="s">
        <v>1410</v>
      </c>
      <c r="C15" s="454" t="s">
        <v>958</v>
      </c>
      <c r="D15" s="454" t="s">
        <v>51</v>
      </c>
      <c r="E15" s="454">
        <v>159218.63</v>
      </c>
      <c r="F15" s="212">
        <v>174022.44</v>
      </c>
    </row>
    <row r="16" spans="2:6">
      <c r="B16" s="454" t="s">
        <v>227</v>
      </c>
      <c r="C16" s="454" t="s">
        <v>958</v>
      </c>
      <c r="D16" s="454" t="s">
        <v>51</v>
      </c>
      <c r="E16" s="454">
        <v>129195.8</v>
      </c>
      <c r="F16" s="212">
        <v>149038.47</v>
      </c>
    </row>
    <row r="17" spans="2:6">
      <c r="B17" s="454" t="s">
        <v>268</v>
      </c>
      <c r="C17" s="454" t="s">
        <v>958</v>
      </c>
      <c r="D17" s="454" t="s">
        <v>51</v>
      </c>
      <c r="E17" s="454">
        <v>12408.69</v>
      </c>
      <c r="F17" s="212">
        <v>14466.75</v>
      </c>
    </row>
    <row r="18" spans="2:6" ht="13.5" thickBot="1">
      <c r="B18" s="454" t="s">
        <v>929</v>
      </c>
      <c r="C18" s="454" t="s">
        <v>958</v>
      </c>
      <c r="D18" s="454" t="s">
        <v>51</v>
      </c>
      <c r="E18" s="454">
        <v>160134.35999999999</v>
      </c>
      <c r="F18" s="212">
        <v>233940.27</v>
      </c>
    </row>
    <row r="19" spans="2:6" ht="13.5" thickBot="1">
      <c r="B19" s="858"/>
      <c r="C19" s="848"/>
      <c r="D19" s="848"/>
      <c r="E19" s="859">
        <f>SUM(E4:E18)</f>
        <v>1277699.02</v>
      </c>
      <c r="F19" s="1208">
        <f>SUM(F4:F18)</f>
        <v>1436782.78</v>
      </c>
    </row>
    <row r="20" spans="2:6">
      <c r="B20" s="454"/>
      <c r="C20" s="454"/>
      <c r="D20" s="454"/>
      <c r="E20" s="454"/>
      <c r="F20" s="212"/>
    </row>
    <row r="21" spans="2:6">
      <c r="B21" s="454" t="s">
        <v>58</v>
      </c>
      <c r="C21" s="454" t="s">
        <v>958</v>
      </c>
      <c r="D21" s="454" t="s">
        <v>59</v>
      </c>
      <c r="E21" s="454">
        <v>1518807.62</v>
      </c>
      <c r="F21" s="212">
        <v>1698881.77</v>
      </c>
    </row>
    <row r="22" spans="2:6">
      <c r="B22" s="454" t="s">
        <v>2385</v>
      </c>
      <c r="C22" s="454"/>
      <c r="D22" s="454"/>
      <c r="E22" s="454"/>
      <c r="F22" s="212">
        <v>54147.71</v>
      </c>
    </row>
    <row r="23" spans="2:6">
      <c r="B23" s="454" t="s">
        <v>383</v>
      </c>
      <c r="C23" s="454"/>
      <c r="D23" s="454"/>
      <c r="E23" s="454"/>
      <c r="F23" s="212">
        <v>2880</v>
      </c>
    </row>
    <row r="24" spans="2:6">
      <c r="B24" s="454" t="s">
        <v>89</v>
      </c>
      <c r="C24" s="454" t="s">
        <v>958</v>
      </c>
      <c r="D24" s="454" t="s">
        <v>59</v>
      </c>
      <c r="E24" s="454">
        <v>1135523.81</v>
      </c>
      <c r="F24" s="212">
        <v>1164280.6200000001</v>
      </c>
    </row>
    <row r="25" spans="2:6">
      <c r="B25" s="454" t="s">
        <v>125</v>
      </c>
      <c r="C25" s="454" t="s">
        <v>958</v>
      </c>
      <c r="D25" s="454" t="s">
        <v>59</v>
      </c>
      <c r="E25" s="454">
        <v>108390.91</v>
      </c>
      <c r="F25" s="212">
        <v>109881.97</v>
      </c>
    </row>
    <row r="26" spans="2:6">
      <c r="B26" s="454" t="s">
        <v>145</v>
      </c>
      <c r="C26" s="454" t="s">
        <v>958</v>
      </c>
      <c r="D26" s="454" t="s">
        <v>59</v>
      </c>
      <c r="E26" s="454">
        <v>209537.54</v>
      </c>
      <c r="F26" s="212">
        <v>219499.4</v>
      </c>
    </row>
    <row r="27" spans="2:6">
      <c r="B27" s="454" t="s">
        <v>166</v>
      </c>
      <c r="C27" s="454" t="s">
        <v>958</v>
      </c>
      <c r="D27" s="454" t="s">
        <v>59</v>
      </c>
      <c r="E27" s="454">
        <v>2272928.91</v>
      </c>
      <c r="F27" s="212">
        <v>2708267.49</v>
      </c>
    </row>
    <row r="28" spans="2:6">
      <c r="B28" s="454" t="s">
        <v>202</v>
      </c>
      <c r="C28" s="454" t="s">
        <v>958</v>
      </c>
      <c r="D28" s="454" t="s">
        <v>59</v>
      </c>
      <c r="E28" s="454">
        <v>61563.79</v>
      </c>
      <c r="F28" s="212">
        <v>71771.06</v>
      </c>
    </row>
    <row r="29" spans="2:6">
      <c r="B29" s="454" t="s">
        <v>210</v>
      </c>
      <c r="C29" s="454" t="s">
        <v>958</v>
      </c>
      <c r="D29" s="454" t="s">
        <v>59</v>
      </c>
      <c r="E29" s="454">
        <v>172413.24</v>
      </c>
      <c r="F29" s="212">
        <v>187382.12</v>
      </c>
    </row>
    <row r="30" spans="2:6">
      <c r="B30" s="454" t="s">
        <v>853</v>
      </c>
      <c r="C30" s="454" t="s">
        <v>958</v>
      </c>
      <c r="D30" s="454" t="s">
        <v>59</v>
      </c>
      <c r="E30" s="454">
        <v>1544001.96</v>
      </c>
      <c r="F30" s="212">
        <v>1563281.1</v>
      </c>
    </row>
    <row r="31" spans="2:6">
      <c r="B31" s="454" t="s">
        <v>874</v>
      </c>
      <c r="C31" s="454" t="s">
        <v>958</v>
      </c>
      <c r="D31" s="454" t="s">
        <v>59</v>
      </c>
      <c r="E31" s="454">
        <v>135026.79999999999</v>
      </c>
      <c r="F31" s="212">
        <v>121879.88</v>
      </c>
    </row>
    <row r="32" spans="2:6">
      <c r="B32" s="454" t="s">
        <v>887</v>
      </c>
      <c r="C32" s="454" t="s">
        <v>958</v>
      </c>
      <c r="D32" s="454" t="s">
        <v>59</v>
      </c>
      <c r="E32" s="454">
        <v>1644066.12</v>
      </c>
      <c r="F32" s="212">
        <v>2017007.7</v>
      </c>
    </row>
    <row r="33" spans="2:6">
      <c r="B33" s="454" t="s">
        <v>762</v>
      </c>
      <c r="C33" s="454" t="s">
        <v>958</v>
      </c>
      <c r="D33" s="454" t="s">
        <v>59</v>
      </c>
      <c r="E33" s="454">
        <v>547393.18999999994</v>
      </c>
      <c r="F33" s="212">
        <v>700728.53</v>
      </c>
    </row>
    <row r="34" spans="2:6">
      <c r="B34" s="454" t="s">
        <v>1408</v>
      </c>
      <c r="C34" s="454" t="s">
        <v>958</v>
      </c>
      <c r="D34" s="454" t="s">
        <v>59</v>
      </c>
      <c r="E34" s="454">
        <v>1843107.79</v>
      </c>
      <c r="F34" s="212">
        <v>2177686.19</v>
      </c>
    </row>
    <row r="35" spans="2:6">
      <c r="B35" s="454" t="s">
        <v>225</v>
      </c>
      <c r="C35" s="454" t="s">
        <v>958</v>
      </c>
      <c r="D35" s="454" t="s">
        <v>59</v>
      </c>
      <c r="E35" s="454">
        <v>1540309.83</v>
      </c>
      <c r="F35" s="212">
        <v>1811629.16</v>
      </c>
    </row>
    <row r="36" spans="2:6">
      <c r="B36" s="454" t="s">
        <v>267</v>
      </c>
      <c r="C36" s="454" t="s">
        <v>958</v>
      </c>
      <c r="D36" s="454" t="s">
        <v>59</v>
      </c>
      <c r="E36" s="454">
        <v>155507.85</v>
      </c>
      <c r="F36" s="212">
        <v>173881.47</v>
      </c>
    </row>
    <row r="37" spans="2:6" ht="13.5" thickBot="1">
      <c r="B37" s="454" t="s">
        <v>927</v>
      </c>
      <c r="C37" s="454" t="s">
        <v>958</v>
      </c>
      <c r="D37" s="454" t="s">
        <v>59</v>
      </c>
      <c r="E37" s="454">
        <v>1867931.09</v>
      </c>
      <c r="F37" s="212">
        <v>3570097.96</v>
      </c>
    </row>
    <row r="38" spans="2:6" ht="13.5" thickBot="1">
      <c r="B38" s="858"/>
      <c r="C38" s="848"/>
      <c r="D38" s="848"/>
      <c r="E38" s="859">
        <f>SUM(E21:E37)</f>
        <v>14756510.449999999</v>
      </c>
      <c r="F38" s="1208">
        <f>SUM(F21:F37)</f>
        <v>18353184.129999999</v>
      </c>
    </row>
    <row r="39" spans="2:6">
      <c r="B39" s="454"/>
      <c r="C39" s="454"/>
      <c r="D39" s="454"/>
      <c r="E39" s="454"/>
      <c r="F39" s="212"/>
    </row>
    <row r="40" spans="2:6">
      <c r="B40" s="454" t="s">
        <v>207</v>
      </c>
      <c r="C40" s="454" t="s">
        <v>958</v>
      </c>
      <c r="D40" s="454" t="s">
        <v>1816</v>
      </c>
      <c r="E40" s="454">
        <v>532.27</v>
      </c>
      <c r="F40" s="212">
        <v>0</v>
      </c>
    </row>
    <row r="41" spans="2:6">
      <c r="B41" s="454" t="s">
        <v>72</v>
      </c>
      <c r="C41" s="454" t="s">
        <v>958</v>
      </c>
      <c r="D41" s="454" t="s">
        <v>1816</v>
      </c>
      <c r="E41" s="454">
        <v>13395.85</v>
      </c>
      <c r="F41" s="212">
        <v>14993.63</v>
      </c>
    </row>
    <row r="42" spans="2:6">
      <c r="B42" s="454" t="s">
        <v>100</v>
      </c>
      <c r="C42" s="454" t="s">
        <v>958</v>
      </c>
      <c r="D42" s="454" t="s">
        <v>1816</v>
      </c>
      <c r="E42" s="454">
        <v>16865.060000000001</v>
      </c>
      <c r="F42" s="212">
        <v>17104.8</v>
      </c>
    </row>
    <row r="43" spans="2:6">
      <c r="B43" s="454" t="s">
        <v>130</v>
      </c>
      <c r="C43" s="454" t="s">
        <v>958</v>
      </c>
      <c r="D43" s="454" t="s">
        <v>1816</v>
      </c>
      <c r="E43" s="454">
        <v>158.47999999999999</v>
      </c>
      <c r="F43" s="212">
        <v>0</v>
      </c>
    </row>
    <row r="44" spans="2:6">
      <c r="B44" s="454" t="s">
        <v>150</v>
      </c>
      <c r="C44" s="454" t="s">
        <v>958</v>
      </c>
      <c r="D44" s="454" t="s">
        <v>1816</v>
      </c>
      <c r="E44" s="454">
        <v>2942.92</v>
      </c>
      <c r="F44" s="212">
        <v>3329.28</v>
      </c>
    </row>
    <row r="45" spans="2:6">
      <c r="B45" s="454" t="s">
        <v>176</v>
      </c>
      <c r="C45" s="454" t="s">
        <v>958</v>
      </c>
      <c r="D45" s="454" t="s">
        <v>1816</v>
      </c>
      <c r="E45" s="454">
        <v>19247.439999999999</v>
      </c>
      <c r="F45" s="212">
        <v>31218.84</v>
      </c>
    </row>
    <row r="46" spans="2:6">
      <c r="B46" s="454" t="s">
        <v>218</v>
      </c>
      <c r="C46" s="454" t="s">
        <v>958</v>
      </c>
      <c r="D46" s="454" t="s">
        <v>1816</v>
      </c>
      <c r="E46" s="454">
        <v>2542.4299999999998</v>
      </c>
      <c r="F46" s="212">
        <v>2842.92</v>
      </c>
    </row>
    <row r="47" spans="2:6">
      <c r="B47" s="454" t="s">
        <v>861</v>
      </c>
      <c r="C47" s="454" t="s">
        <v>958</v>
      </c>
      <c r="D47" s="454" t="s">
        <v>1816</v>
      </c>
      <c r="E47" s="454">
        <v>7212.02</v>
      </c>
      <c r="F47" s="212">
        <v>5408.79</v>
      </c>
    </row>
    <row r="48" spans="2:6">
      <c r="B48" s="454" t="s">
        <v>894</v>
      </c>
      <c r="C48" s="454" t="s">
        <v>958</v>
      </c>
      <c r="D48" s="454" t="s">
        <v>1816</v>
      </c>
      <c r="E48" s="454">
        <v>7718.37</v>
      </c>
      <c r="F48" s="212">
        <v>11740.88</v>
      </c>
    </row>
    <row r="49" spans="2:6">
      <c r="B49" s="454" t="s">
        <v>1391</v>
      </c>
      <c r="C49" s="454" t="s">
        <v>958</v>
      </c>
      <c r="D49" s="454" t="s">
        <v>1816</v>
      </c>
      <c r="E49" s="454">
        <v>1165.75</v>
      </c>
      <c r="F49" s="212">
        <v>8554.4</v>
      </c>
    </row>
    <row r="50" spans="2:6">
      <c r="B50" s="454" t="s">
        <v>1418</v>
      </c>
      <c r="C50" s="454" t="s">
        <v>958</v>
      </c>
      <c r="D50" s="454" t="s">
        <v>1816</v>
      </c>
      <c r="E50" s="454">
        <v>6696.48</v>
      </c>
      <c r="F50" s="212">
        <v>8773.32</v>
      </c>
    </row>
    <row r="51" spans="2:6">
      <c r="B51" s="454" t="s">
        <v>234</v>
      </c>
      <c r="C51" s="454" t="s">
        <v>958</v>
      </c>
      <c r="D51" s="454" t="s">
        <v>1816</v>
      </c>
      <c r="E51" s="454">
        <v>13373.48</v>
      </c>
      <c r="F51" s="212">
        <v>16162.92</v>
      </c>
    </row>
    <row r="52" spans="2:6">
      <c r="B52" s="454" t="s">
        <v>272</v>
      </c>
      <c r="C52" s="454" t="s">
        <v>958</v>
      </c>
      <c r="D52" s="454" t="s">
        <v>1816</v>
      </c>
      <c r="E52" s="454">
        <v>2312.67</v>
      </c>
      <c r="F52" s="212">
        <v>2638.68</v>
      </c>
    </row>
    <row r="53" spans="2:6" ht="13.5" thickBot="1">
      <c r="B53" s="454" t="s">
        <v>938</v>
      </c>
      <c r="C53" s="454" t="s">
        <v>958</v>
      </c>
      <c r="D53" s="454" t="s">
        <v>1816</v>
      </c>
      <c r="E53" s="454">
        <v>14042.13</v>
      </c>
      <c r="F53" s="212">
        <v>37398.47</v>
      </c>
    </row>
    <row r="54" spans="2:6" ht="13.5" thickBot="1">
      <c r="B54" s="858"/>
      <c r="C54" s="848"/>
      <c r="D54" s="848"/>
      <c r="E54" s="859">
        <f>SUM(E40:E53)</f>
        <v>108205.34999999999</v>
      </c>
      <c r="F54" s="1208">
        <f>SUM(F40:F53)</f>
        <v>160166.93</v>
      </c>
    </row>
    <row r="55" spans="2:6">
      <c r="B55" s="454"/>
      <c r="C55" s="454"/>
      <c r="D55" s="454"/>
      <c r="E55" s="454"/>
      <c r="F55" s="212"/>
    </row>
    <row r="56" spans="2:6">
      <c r="B56" s="454" t="s">
        <v>64</v>
      </c>
      <c r="C56" s="454" t="s">
        <v>958</v>
      </c>
      <c r="D56" s="454" t="s">
        <v>517</v>
      </c>
      <c r="E56" s="454">
        <v>4250</v>
      </c>
      <c r="F56" s="212">
        <v>9000</v>
      </c>
    </row>
    <row r="57" spans="2:6">
      <c r="B57" s="454" t="s">
        <v>93</v>
      </c>
      <c r="C57" s="454" t="s">
        <v>958</v>
      </c>
      <c r="D57" s="454" t="s">
        <v>517</v>
      </c>
      <c r="E57" s="454">
        <v>20543.79</v>
      </c>
      <c r="F57" s="212">
        <v>16917.84</v>
      </c>
    </row>
    <row r="58" spans="2:6">
      <c r="B58" s="454" t="s">
        <v>170</v>
      </c>
      <c r="C58" s="454" t="s">
        <v>958</v>
      </c>
      <c r="D58" s="454" t="s">
        <v>517</v>
      </c>
      <c r="E58" s="454">
        <v>8691.2000000000007</v>
      </c>
      <c r="F58" s="212">
        <v>15442.48</v>
      </c>
    </row>
    <row r="59" spans="2:6">
      <c r="B59" s="454" t="s">
        <v>766</v>
      </c>
      <c r="C59" s="454" t="s">
        <v>958</v>
      </c>
      <c r="D59" s="454" t="s">
        <v>517</v>
      </c>
      <c r="E59" s="454">
        <v>6867</v>
      </c>
      <c r="F59" s="212">
        <v>6408</v>
      </c>
    </row>
    <row r="60" spans="2:6">
      <c r="B60" s="454" t="s">
        <v>1413</v>
      </c>
      <c r="C60" s="454" t="s">
        <v>958</v>
      </c>
      <c r="D60" s="454" t="s">
        <v>517</v>
      </c>
      <c r="E60" s="454">
        <v>6867</v>
      </c>
      <c r="F60" s="212">
        <v>6408</v>
      </c>
    </row>
    <row r="61" spans="2:6">
      <c r="B61" s="454" t="s">
        <v>230</v>
      </c>
      <c r="C61" s="454" t="s">
        <v>958</v>
      </c>
      <c r="D61" s="454" t="s">
        <v>517</v>
      </c>
      <c r="E61" s="454">
        <v>2595</v>
      </c>
      <c r="F61" s="212">
        <v>3000</v>
      </c>
    </row>
    <row r="62" spans="2:6">
      <c r="B62" s="454" t="s">
        <v>1499</v>
      </c>
      <c r="C62" s="454"/>
      <c r="D62" s="454" t="s">
        <v>517</v>
      </c>
      <c r="E62" s="454">
        <v>3831.18</v>
      </c>
      <c r="F62" s="212">
        <v>3396.24</v>
      </c>
    </row>
    <row r="63" spans="2:6" ht="13.5" thickBot="1">
      <c r="B63" s="454" t="s">
        <v>932</v>
      </c>
      <c r="C63" s="454" t="s">
        <v>958</v>
      </c>
      <c r="D63" s="454" t="s">
        <v>517</v>
      </c>
      <c r="E63" s="454">
        <v>17367</v>
      </c>
      <c r="F63" s="212">
        <v>26556</v>
      </c>
    </row>
    <row r="64" spans="2:6" ht="13.5" thickBot="1">
      <c r="B64" s="858"/>
      <c r="C64" s="848"/>
      <c r="D64" s="848"/>
      <c r="E64" s="859">
        <f>SUM(E56:E63)</f>
        <v>71012.170000000013</v>
      </c>
      <c r="F64" s="1208">
        <f>SUM(F56:F63)</f>
        <v>87128.56</v>
      </c>
    </row>
    <row r="65" spans="2:6">
      <c r="B65" s="454"/>
      <c r="C65" s="454"/>
      <c r="D65" s="454"/>
      <c r="E65" s="454"/>
      <c r="F65" s="212"/>
    </row>
    <row r="66" spans="2:6">
      <c r="B66" s="454" t="s">
        <v>73</v>
      </c>
      <c r="C66" s="454" t="s">
        <v>958</v>
      </c>
      <c r="D66" s="454" t="s">
        <v>1114</v>
      </c>
      <c r="E66" s="454">
        <v>572.58000000000004</v>
      </c>
      <c r="F66" s="212">
        <v>612.02</v>
      </c>
    </row>
    <row r="67" spans="2:6">
      <c r="B67" s="454" t="s">
        <v>101</v>
      </c>
      <c r="C67" s="454" t="s">
        <v>958</v>
      </c>
      <c r="D67" s="454" t="s">
        <v>1114</v>
      </c>
      <c r="E67" s="454">
        <v>591.33000000000004</v>
      </c>
      <c r="F67" s="212">
        <v>607.91999999999996</v>
      </c>
    </row>
    <row r="68" spans="2:6">
      <c r="B68" s="454" t="s">
        <v>131</v>
      </c>
      <c r="C68" s="454" t="s">
        <v>958</v>
      </c>
      <c r="D68" s="454" t="s">
        <v>1114</v>
      </c>
      <c r="E68" s="454">
        <v>48.75</v>
      </c>
      <c r="F68" s="212">
        <v>49.2</v>
      </c>
    </row>
    <row r="69" spans="2:6">
      <c r="B69" s="454" t="s">
        <v>151</v>
      </c>
      <c r="C69" s="454" t="s">
        <v>958</v>
      </c>
      <c r="D69" s="454" t="s">
        <v>1114</v>
      </c>
      <c r="E69" s="454">
        <v>90</v>
      </c>
      <c r="F69" s="212">
        <v>98.4</v>
      </c>
    </row>
    <row r="70" spans="2:6">
      <c r="B70" s="454" t="s">
        <v>177</v>
      </c>
      <c r="C70" s="454" t="s">
        <v>958</v>
      </c>
      <c r="D70" s="454" t="s">
        <v>1114</v>
      </c>
      <c r="E70" s="454">
        <v>808.23</v>
      </c>
      <c r="F70" s="212">
        <v>1118.26</v>
      </c>
    </row>
    <row r="71" spans="2:6">
      <c r="B71" s="454" t="s">
        <v>208</v>
      </c>
      <c r="C71" s="454" t="s">
        <v>958</v>
      </c>
      <c r="D71" s="454" t="s">
        <v>1114</v>
      </c>
      <c r="E71" s="454">
        <v>32.58</v>
      </c>
      <c r="F71" s="212">
        <v>38.020000000000003</v>
      </c>
    </row>
    <row r="72" spans="2:6">
      <c r="B72" s="454" t="s">
        <v>734</v>
      </c>
      <c r="C72" s="454" t="s">
        <v>958</v>
      </c>
      <c r="D72" s="454" t="s">
        <v>1114</v>
      </c>
      <c r="E72" s="454">
        <v>45</v>
      </c>
      <c r="F72" s="212">
        <v>49.2</v>
      </c>
    </row>
    <row r="73" spans="2:6">
      <c r="B73" s="454" t="s">
        <v>862</v>
      </c>
      <c r="C73" s="454" t="s">
        <v>958</v>
      </c>
      <c r="D73" s="454" t="s">
        <v>1114</v>
      </c>
      <c r="E73" s="454">
        <v>1421.25</v>
      </c>
      <c r="F73" s="212">
        <v>1439.1</v>
      </c>
    </row>
    <row r="74" spans="2:6">
      <c r="B74" s="454" t="s">
        <v>881</v>
      </c>
      <c r="C74" s="454" t="s">
        <v>958</v>
      </c>
      <c r="D74" s="454" t="s">
        <v>1114</v>
      </c>
      <c r="E74" s="454">
        <v>135</v>
      </c>
      <c r="F74" s="212">
        <v>114.8</v>
      </c>
    </row>
    <row r="75" spans="2:6">
      <c r="B75" s="454" t="s">
        <v>895</v>
      </c>
      <c r="C75" s="454" t="s">
        <v>958</v>
      </c>
      <c r="D75" s="454" t="s">
        <v>1114</v>
      </c>
      <c r="E75" s="454">
        <v>1567.5</v>
      </c>
      <c r="F75" s="212">
        <v>1832.7</v>
      </c>
    </row>
    <row r="76" spans="2:6">
      <c r="B76" s="454" t="s">
        <v>1392</v>
      </c>
      <c r="C76" s="454" t="s">
        <v>958</v>
      </c>
      <c r="D76" s="454" t="s">
        <v>1114</v>
      </c>
      <c r="E76" s="454">
        <v>142.74</v>
      </c>
      <c r="F76" s="212">
        <v>163.27000000000001</v>
      </c>
    </row>
    <row r="77" spans="2:6">
      <c r="B77" s="454" t="s">
        <v>1419</v>
      </c>
      <c r="C77" s="454" t="s">
        <v>958</v>
      </c>
      <c r="D77" s="454"/>
      <c r="E77" s="454">
        <v>1631.25</v>
      </c>
      <c r="F77" s="212">
        <v>1845</v>
      </c>
    </row>
    <row r="78" spans="2:6">
      <c r="B78" s="454" t="s">
        <v>235</v>
      </c>
      <c r="C78" s="454" t="s">
        <v>958</v>
      </c>
      <c r="D78" s="454" t="s">
        <v>1114</v>
      </c>
      <c r="E78" s="454">
        <v>1053.54</v>
      </c>
      <c r="F78" s="212">
        <v>1183.0899999999999</v>
      </c>
    </row>
    <row r="79" spans="2:6">
      <c r="B79" s="454" t="s">
        <v>273</v>
      </c>
      <c r="C79" s="454" t="s">
        <v>958</v>
      </c>
      <c r="D79" s="454" t="s">
        <v>1114</v>
      </c>
      <c r="E79" s="454">
        <v>45</v>
      </c>
      <c r="F79" s="212">
        <v>49.2</v>
      </c>
    </row>
    <row r="80" spans="2:6" ht="13.5" thickBot="1">
      <c r="B80" s="454" t="s">
        <v>939</v>
      </c>
      <c r="C80" s="454" t="s">
        <v>958</v>
      </c>
      <c r="D80" s="454" t="s">
        <v>1114</v>
      </c>
      <c r="E80" s="454">
        <v>765</v>
      </c>
      <c r="F80" s="212">
        <v>1594.9</v>
      </c>
    </row>
    <row r="81" spans="2:6" ht="13.5" thickBot="1">
      <c r="B81" s="858"/>
      <c r="C81" s="848"/>
      <c r="D81" s="848"/>
      <c r="E81" s="859">
        <f>SUM(E66:E80)</f>
        <v>8949.75</v>
      </c>
      <c r="F81" s="1208">
        <f>SUM(F66:F80)</f>
        <v>10795.08</v>
      </c>
    </row>
    <row r="82" spans="2:6">
      <c r="B82" s="454"/>
      <c r="C82" s="454"/>
      <c r="D82" s="454"/>
      <c r="E82" s="454"/>
      <c r="F82" s="212"/>
    </row>
    <row r="83" spans="2:6">
      <c r="B83" s="454" t="s">
        <v>1774</v>
      </c>
      <c r="C83" s="454"/>
      <c r="D83" s="454" t="s">
        <v>1813</v>
      </c>
      <c r="E83" s="454">
        <v>79415.22</v>
      </c>
      <c r="F83" s="212">
        <v>89738.1</v>
      </c>
    </row>
    <row r="84" spans="2:6">
      <c r="B84" s="454" t="s">
        <v>69</v>
      </c>
      <c r="C84" s="454" t="s">
        <v>958</v>
      </c>
      <c r="D84" s="454" t="s">
        <v>1813</v>
      </c>
      <c r="E84" s="454">
        <v>47588.4</v>
      </c>
      <c r="F84" s="212">
        <v>52420.2</v>
      </c>
    </row>
    <row r="85" spans="2:6">
      <c r="B85" s="454" t="s">
        <v>97</v>
      </c>
      <c r="C85" s="454" t="s">
        <v>958</v>
      </c>
      <c r="D85" s="454" t="s">
        <v>1813</v>
      </c>
      <c r="E85" s="454">
        <v>83369.72</v>
      </c>
      <c r="F85" s="212">
        <v>106594.64</v>
      </c>
    </row>
    <row r="86" spans="2:6">
      <c r="B86" s="454" t="s">
        <v>127</v>
      </c>
      <c r="C86" s="454" t="s">
        <v>958</v>
      </c>
      <c r="D86" s="454" t="s">
        <v>1813</v>
      </c>
      <c r="E86" s="454">
        <v>13615.2</v>
      </c>
      <c r="F86" s="212">
        <v>15526.8</v>
      </c>
    </row>
    <row r="87" spans="2:6">
      <c r="B87" s="454" t="s">
        <v>147</v>
      </c>
      <c r="C87" s="454" t="s">
        <v>958</v>
      </c>
      <c r="D87" s="454" t="s">
        <v>1813</v>
      </c>
      <c r="E87" s="454">
        <v>12621.6</v>
      </c>
      <c r="F87" s="212">
        <v>14994.6</v>
      </c>
    </row>
    <row r="88" spans="2:6">
      <c r="B88" s="454" t="s">
        <v>173</v>
      </c>
      <c r="C88" s="454" t="s">
        <v>958</v>
      </c>
      <c r="D88" s="454" t="s">
        <v>1813</v>
      </c>
      <c r="E88" s="454">
        <v>93131.68</v>
      </c>
      <c r="F88" s="212">
        <v>189020.01</v>
      </c>
    </row>
    <row r="89" spans="2:6">
      <c r="B89" s="454" t="s">
        <v>215</v>
      </c>
      <c r="C89" s="454" t="s">
        <v>958</v>
      </c>
      <c r="D89" s="454" t="s">
        <v>1813</v>
      </c>
      <c r="E89" s="454">
        <v>10929.6</v>
      </c>
      <c r="F89" s="212">
        <v>12196.8</v>
      </c>
    </row>
    <row r="90" spans="2:6">
      <c r="B90" s="454" t="s">
        <v>891</v>
      </c>
      <c r="C90" s="454" t="s">
        <v>958</v>
      </c>
      <c r="D90" s="454" t="s">
        <v>1813</v>
      </c>
      <c r="E90" s="454">
        <v>3755.4</v>
      </c>
      <c r="F90" s="212">
        <v>7326</v>
      </c>
    </row>
    <row r="91" spans="2:6">
      <c r="B91" s="454" t="s">
        <v>1388</v>
      </c>
      <c r="C91" s="454" t="s">
        <v>958</v>
      </c>
      <c r="D91" s="454" t="s">
        <v>1813</v>
      </c>
      <c r="E91" s="454">
        <v>59591.35</v>
      </c>
      <c r="F91" s="212">
        <v>89361.33</v>
      </c>
    </row>
    <row r="92" spans="2:6">
      <c r="B92" s="454" t="s">
        <v>1415</v>
      </c>
      <c r="C92" s="454" t="s">
        <v>958</v>
      </c>
      <c r="D92" s="454" t="s">
        <v>1813</v>
      </c>
      <c r="E92" s="454">
        <v>22734</v>
      </c>
      <c r="F92" s="212">
        <v>21513.599999999999</v>
      </c>
    </row>
    <row r="93" spans="2:6">
      <c r="B93" s="454" t="s">
        <v>231</v>
      </c>
      <c r="C93" s="454" t="s">
        <v>958</v>
      </c>
      <c r="D93" s="454" t="s">
        <v>1813</v>
      </c>
      <c r="E93" s="454">
        <v>13113.74</v>
      </c>
      <c r="F93" s="212">
        <v>93678.6</v>
      </c>
    </row>
    <row r="94" spans="2:6">
      <c r="B94" s="454" t="s">
        <v>269</v>
      </c>
      <c r="C94" s="454" t="s">
        <v>958</v>
      </c>
      <c r="D94" s="454" t="s">
        <v>1813</v>
      </c>
      <c r="E94" s="454">
        <v>19504.8</v>
      </c>
      <c r="F94" s="212">
        <v>19519.2</v>
      </c>
    </row>
    <row r="95" spans="2:6" ht="13.5" thickBot="1">
      <c r="B95" s="454" t="s">
        <v>935</v>
      </c>
      <c r="C95" s="454" t="s">
        <v>958</v>
      </c>
      <c r="D95" s="454" t="s">
        <v>1813</v>
      </c>
      <c r="E95" s="454">
        <v>153788.4</v>
      </c>
      <c r="F95" s="212">
        <v>181784.4</v>
      </c>
    </row>
    <row r="96" spans="2:6" ht="13.5" thickBot="1">
      <c r="B96" s="858"/>
      <c r="C96" s="848"/>
      <c r="D96" s="848"/>
      <c r="E96" s="859">
        <f>SUM(E83:E95)</f>
        <v>613159.11</v>
      </c>
      <c r="F96" s="1208">
        <f>SUM(F83:F95)</f>
        <v>893674.27999999991</v>
      </c>
    </row>
    <row r="97" spans="2:6">
      <c r="B97" s="454"/>
      <c r="C97" s="454"/>
      <c r="D97" s="454"/>
      <c r="E97" s="454"/>
      <c r="F97" s="212"/>
    </row>
    <row r="98" spans="2:6">
      <c r="B98" s="454" t="s">
        <v>63</v>
      </c>
      <c r="C98" s="454" t="s">
        <v>958</v>
      </c>
      <c r="D98" s="454" t="s">
        <v>1817</v>
      </c>
      <c r="E98" s="454">
        <v>79066.19</v>
      </c>
      <c r="F98" s="212">
        <v>0</v>
      </c>
    </row>
    <row r="99" spans="2:6">
      <c r="B99" s="454" t="s">
        <v>1778</v>
      </c>
      <c r="C99" s="454"/>
      <c r="D99" s="454" t="s">
        <v>1779</v>
      </c>
      <c r="E99" s="454">
        <v>11687.93</v>
      </c>
      <c r="F99" s="212">
        <v>6848.36</v>
      </c>
    </row>
    <row r="100" spans="2:6">
      <c r="B100" s="454" t="s">
        <v>92</v>
      </c>
      <c r="C100" s="454" t="s">
        <v>958</v>
      </c>
      <c r="D100" s="454" t="s">
        <v>1817</v>
      </c>
      <c r="E100" s="454">
        <v>213083.57</v>
      </c>
      <c r="F100" s="212">
        <v>259192.95999999999</v>
      </c>
    </row>
    <row r="101" spans="2:6">
      <c r="B101" s="454" t="s">
        <v>169</v>
      </c>
      <c r="C101" s="454" t="s">
        <v>958</v>
      </c>
      <c r="D101" s="454" t="s">
        <v>1817</v>
      </c>
      <c r="E101" s="454">
        <v>163706.31</v>
      </c>
      <c r="F101" s="212">
        <v>215431.63</v>
      </c>
    </row>
    <row r="102" spans="2:6">
      <c r="B102" s="454" t="s">
        <v>856</v>
      </c>
      <c r="C102" s="454" t="s">
        <v>958</v>
      </c>
      <c r="D102" s="454" t="s">
        <v>1817</v>
      </c>
      <c r="E102" s="454">
        <v>13621.57</v>
      </c>
      <c r="F102" s="212">
        <v>17340</v>
      </c>
    </row>
    <row r="103" spans="2:6">
      <c r="B103" s="454" t="s">
        <v>765</v>
      </c>
      <c r="C103" s="454" t="s">
        <v>958</v>
      </c>
      <c r="D103" s="454" t="s">
        <v>1817</v>
      </c>
      <c r="E103" s="454">
        <v>31715.599999999999</v>
      </c>
      <c r="F103" s="212">
        <v>59464.53</v>
      </c>
    </row>
    <row r="104" spans="2:6">
      <c r="B104" s="454" t="s">
        <v>1412</v>
      </c>
      <c r="C104" s="454" t="s">
        <v>958</v>
      </c>
      <c r="D104" s="454" t="s">
        <v>1817</v>
      </c>
      <c r="E104" s="454">
        <v>28656.36</v>
      </c>
      <c r="F104" s="212">
        <v>75329.52</v>
      </c>
    </row>
    <row r="105" spans="2:6" ht="13.5" thickBot="1">
      <c r="B105" s="454" t="s">
        <v>931</v>
      </c>
      <c r="C105" s="454" t="s">
        <v>958</v>
      </c>
      <c r="D105" s="454" t="s">
        <v>1817</v>
      </c>
      <c r="E105" s="454">
        <v>88819.19</v>
      </c>
      <c r="F105" s="212">
        <v>98878.49</v>
      </c>
    </row>
    <row r="106" spans="2:6" ht="13.5" thickBot="1">
      <c r="B106" s="858"/>
      <c r="C106" s="848"/>
      <c r="D106" s="848"/>
      <c r="E106" s="859">
        <f>SUM(E98:E105)</f>
        <v>630356.72</v>
      </c>
      <c r="F106" s="1208">
        <f>SUM(F98:F105)</f>
        <v>732485.49</v>
      </c>
    </row>
    <row r="107" spans="2:6">
      <c r="B107" s="454"/>
      <c r="C107" s="454"/>
      <c r="D107" s="454"/>
      <c r="E107" s="454"/>
      <c r="F107" s="212"/>
    </row>
    <row r="108" spans="2:6">
      <c r="B108" s="454" t="s">
        <v>60</v>
      </c>
      <c r="C108" s="454" t="s">
        <v>958</v>
      </c>
      <c r="D108" s="454" t="s">
        <v>61</v>
      </c>
      <c r="E108" s="454">
        <v>138417.68</v>
      </c>
      <c r="F108" s="212">
        <v>171842.53</v>
      </c>
    </row>
    <row r="109" spans="2:6">
      <c r="B109" s="454" t="s">
        <v>90</v>
      </c>
      <c r="C109" s="454" t="s">
        <v>958</v>
      </c>
      <c r="D109" s="454" t="s">
        <v>61</v>
      </c>
      <c r="E109" s="454">
        <v>26060.17</v>
      </c>
      <c r="F109" s="212">
        <v>40294.61</v>
      </c>
    </row>
    <row r="110" spans="2:6">
      <c r="B110" s="454" t="s">
        <v>167</v>
      </c>
      <c r="C110" s="454" t="s">
        <v>958</v>
      </c>
      <c r="D110" s="454" t="s">
        <v>61</v>
      </c>
      <c r="E110" s="454">
        <v>363117.5</v>
      </c>
      <c r="F110" s="212">
        <v>503264.06</v>
      </c>
    </row>
    <row r="111" spans="2:6">
      <c r="B111" s="454" t="s">
        <v>211</v>
      </c>
      <c r="C111" s="454"/>
      <c r="D111" s="454"/>
      <c r="E111" s="454"/>
      <c r="F111" s="212">
        <v>10637.9</v>
      </c>
    </row>
    <row r="112" spans="2:6">
      <c r="B112" s="454" t="s">
        <v>203</v>
      </c>
      <c r="C112" s="454" t="s">
        <v>958</v>
      </c>
      <c r="D112" s="454" t="s">
        <v>61</v>
      </c>
      <c r="E112" s="454">
        <v>37416.22</v>
      </c>
      <c r="F112" s="212">
        <v>55602.66</v>
      </c>
    </row>
    <row r="113" spans="2:6">
      <c r="B113" s="454" t="s">
        <v>854</v>
      </c>
      <c r="C113" s="454" t="s">
        <v>958</v>
      </c>
      <c r="D113" s="454" t="s">
        <v>61</v>
      </c>
      <c r="E113" s="454">
        <v>360589.21</v>
      </c>
      <c r="F113" s="212">
        <v>331858.09999999998</v>
      </c>
    </row>
    <row r="114" spans="2:6">
      <c r="B114" s="454" t="s">
        <v>875</v>
      </c>
      <c r="C114" s="454" t="s">
        <v>958</v>
      </c>
      <c r="D114" s="454" t="s">
        <v>61</v>
      </c>
      <c r="E114" s="454">
        <v>13840.2</v>
      </c>
      <c r="F114" s="212">
        <v>39398.519999999997</v>
      </c>
    </row>
    <row r="115" spans="2:6">
      <c r="B115" s="454" t="s">
        <v>888</v>
      </c>
      <c r="C115" s="454" t="s">
        <v>958</v>
      </c>
      <c r="D115" s="454" t="s">
        <v>61</v>
      </c>
      <c r="E115" s="454">
        <v>518160.92</v>
      </c>
      <c r="F115" s="212">
        <v>706371.39</v>
      </c>
    </row>
    <row r="116" spans="2:6">
      <c r="B116" s="454" t="s">
        <v>763</v>
      </c>
      <c r="C116" s="454" t="s">
        <v>958</v>
      </c>
      <c r="D116" s="454" t="s">
        <v>61</v>
      </c>
      <c r="E116" s="454">
        <v>2754.34</v>
      </c>
      <c r="F116" s="212">
        <v>13675.44</v>
      </c>
    </row>
    <row r="117" spans="2:6">
      <c r="B117" s="454" t="s">
        <v>1409</v>
      </c>
      <c r="C117" s="454" t="s">
        <v>958</v>
      </c>
      <c r="D117" s="454" t="s">
        <v>61</v>
      </c>
      <c r="E117" s="454">
        <v>580744.66</v>
      </c>
      <c r="F117" s="212">
        <v>1041276.2</v>
      </c>
    </row>
    <row r="118" spans="2:6">
      <c r="B118" s="454" t="s">
        <v>226</v>
      </c>
      <c r="C118" s="454" t="s">
        <v>958</v>
      </c>
      <c r="D118" s="454" t="s">
        <v>61</v>
      </c>
      <c r="E118" s="454">
        <v>920140.68</v>
      </c>
      <c r="F118" s="212">
        <v>1415089.35</v>
      </c>
    </row>
    <row r="119" spans="2:6" ht="13.5" thickBot="1">
      <c r="B119" s="454" t="s">
        <v>928</v>
      </c>
      <c r="C119" s="454" t="s">
        <v>958</v>
      </c>
      <c r="D119" s="454" t="s">
        <v>61</v>
      </c>
      <c r="E119" s="454">
        <v>175363.77</v>
      </c>
      <c r="F119" s="212">
        <v>572956.72</v>
      </c>
    </row>
    <row r="120" spans="2:6" ht="13.5" thickBot="1">
      <c r="B120" s="858"/>
      <c r="C120" s="848"/>
      <c r="D120" s="848"/>
      <c r="E120" s="859">
        <f>SUM(E108:E119)</f>
        <v>3136605.35</v>
      </c>
      <c r="F120" s="1208">
        <f>SUM(F108:F119)</f>
        <v>4902267.4799999995</v>
      </c>
    </row>
    <row r="121" spans="2:6">
      <c r="B121" s="454"/>
      <c r="C121" s="454"/>
      <c r="D121" s="454"/>
      <c r="E121" s="454"/>
      <c r="F121" s="212"/>
    </row>
    <row r="122" spans="2:6">
      <c r="B122" s="454" t="s">
        <v>70</v>
      </c>
      <c r="C122" s="454" t="s">
        <v>958</v>
      </c>
      <c r="D122" s="454" t="s">
        <v>1814</v>
      </c>
      <c r="E122" s="454">
        <v>235663.75</v>
      </c>
      <c r="F122" s="212">
        <v>257570.97</v>
      </c>
    </row>
    <row r="123" spans="2:6">
      <c r="B123" s="454" t="s">
        <v>98</v>
      </c>
      <c r="C123" s="454" t="s">
        <v>958</v>
      </c>
      <c r="D123" s="454" t="s">
        <v>1814</v>
      </c>
      <c r="E123" s="454">
        <v>241726.01</v>
      </c>
      <c r="F123" s="212">
        <v>251657.85</v>
      </c>
    </row>
    <row r="124" spans="2:6">
      <c r="B124" s="454" t="s">
        <v>128</v>
      </c>
      <c r="C124" s="454" t="s">
        <v>958</v>
      </c>
      <c r="D124" s="454" t="s">
        <v>1814</v>
      </c>
      <c r="E124" s="454">
        <v>22807.74</v>
      </c>
      <c r="F124" s="212">
        <v>22833.439999999999</v>
      </c>
    </row>
    <row r="125" spans="2:6">
      <c r="B125" s="454" t="s">
        <v>148</v>
      </c>
      <c r="C125" s="454" t="s">
        <v>958</v>
      </c>
      <c r="D125" s="454" t="s">
        <v>1814</v>
      </c>
      <c r="E125" s="454">
        <v>45831.3</v>
      </c>
      <c r="F125" s="212">
        <v>48325.78</v>
      </c>
    </row>
    <row r="126" spans="2:6">
      <c r="B126" s="454" t="s">
        <v>174</v>
      </c>
      <c r="C126" s="454" t="s">
        <v>958</v>
      </c>
      <c r="D126" s="454" t="s">
        <v>1814</v>
      </c>
      <c r="E126" s="454">
        <v>386427.94</v>
      </c>
      <c r="F126" s="212">
        <v>560688.03</v>
      </c>
    </row>
    <row r="127" spans="2:6">
      <c r="B127" s="454" t="s">
        <v>205</v>
      </c>
      <c r="C127" s="454" t="s">
        <v>958</v>
      </c>
      <c r="D127" s="454" t="s">
        <v>1814</v>
      </c>
      <c r="E127" s="454">
        <v>9820.4500000000007</v>
      </c>
      <c r="F127" s="212">
        <v>11947.86</v>
      </c>
    </row>
    <row r="128" spans="2:6">
      <c r="B128" s="454" t="s">
        <v>216</v>
      </c>
      <c r="C128" s="454" t="s">
        <v>958</v>
      </c>
      <c r="D128" s="454" t="s">
        <v>1814</v>
      </c>
      <c r="E128" s="454">
        <v>37091.75</v>
      </c>
      <c r="F128" s="212">
        <v>41224.1</v>
      </c>
    </row>
    <row r="129" spans="2:6">
      <c r="B129" s="454" t="s">
        <v>859</v>
      </c>
      <c r="C129" s="454" t="s">
        <v>958</v>
      </c>
      <c r="D129" s="454" t="s">
        <v>1814</v>
      </c>
      <c r="E129" s="454">
        <v>339329.58</v>
      </c>
      <c r="F129" s="212">
        <v>333148.89</v>
      </c>
    </row>
    <row r="130" spans="2:6">
      <c r="B130" s="454" t="s">
        <v>878</v>
      </c>
      <c r="C130" s="454" t="s">
        <v>958</v>
      </c>
      <c r="D130" s="454" t="s">
        <v>1814</v>
      </c>
      <c r="E130" s="454">
        <v>28312.21</v>
      </c>
      <c r="F130" s="212">
        <v>25495.87</v>
      </c>
    </row>
    <row r="131" spans="2:6">
      <c r="B131" s="454" t="s">
        <v>892</v>
      </c>
      <c r="C131" s="454" t="s">
        <v>958</v>
      </c>
      <c r="D131" s="454" t="s">
        <v>1814</v>
      </c>
      <c r="E131" s="454">
        <v>361517.35</v>
      </c>
      <c r="F131" s="212">
        <v>436309.39</v>
      </c>
    </row>
    <row r="132" spans="2:6">
      <c r="B132" s="454" t="s">
        <v>1389</v>
      </c>
      <c r="C132" s="454" t="s">
        <v>958</v>
      </c>
      <c r="D132" s="454" t="s">
        <v>1814</v>
      </c>
      <c r="E132" s="454">
        <v>73418.05</v>
      </c>
      <c r="F132" s="212">
        <v>91448.97</v>
      </c>
    </row>
    <row r="133" spans="2:6">
      <c r="B133" s="454" t="s">
        <v>1416</v>
      </c>
      <c r="C133" s="454" t="s">
        <v>958</v>
      </c>
      <c r="D133" s="454" t="s">
        <v>1814</v>
      </c>
      <c r="E133" s="454">
        <v>391637.48</v>
      </c>
      <c r="F133" s="212">
        <v>454374.81</v>
      </c>
    </row>
    <row r="134" spans="2:6">
      <c r="B134" s="454" t="s">
        <v>232</v>
      </c>
      <c r="C134" s="454" t="s">
        <v>958</v>
      </c>
      <c r="D134" s="454" t="s">
        <v>1814</v>
      </c>
      <c r="E134" s="454">
        <v>323969.2</v>
      </c>
      <c r="F134" s="212">
        <v>405533.51</v>
      </c>
    </row>
    <row r="135" spans="2:6">
      <c r="B135" s="454" t="s">
        <v>270</v>
      </c>
      <c r="C135" s="454" t="s">
        <v>958</v>
      </c>
      <c r="D135" s="454" t="s">
        <v>1814</v>
      </c>
      <c r="E135" s="454">
        <v>33732.629999999997</v>
      </c>
      <c r="F135" s="212">
        <v>38253.980000000003</v>
      </c>
    </row>
    <row r="136" spans="2:6" ht="13.5" thickBot="1">
      <c r="B136" s="454" t="s">
        <v>936</v>
      </c>
      <c r="C136" s="454" t="s">
        <v>958</v>
      </c>
      <c r="D136" s="454" t="s">
        <v>1814</v>
      </c>
      <c r="E136" s="454">
        <v>316852.62</v>
      </c>
      <c r="F136" s="212">
        <v>678952.74</v>
      </c>
    </row>
    <row r="137" spans="2:6" ht="13.5" thickBot="1">
      <c r="B137" s="858"/>
      <c r="C137" s="848"/>
      <c r="D137" s="848"/>
      <c r="E137" s="859">
        <f>SUM(E122:E136)</f>
        <v>2848138.0600000005</v>
      </c>
      <c r="F137" s="1208">
        <f>SUM(F122:F136)</f>
        <v>3657766.1900000004</v>
      </c>
    </row>
    <row r="138" spans="2:6" ht="13.5" thickBot="1">
      <c r="B138" s="454"/>
      <c r="C138" s="454"/>
      <c r="D138" s="454"/>
      <c r="E138" s="454"/>
      <c r="F138" s="212"/>
    </row>
    <row r="139" spans="2:6" ht="13.5" thickBot="1">
      <c r="B139" s="858" t="s">
        <v>383</v>
      </c>
      <c r="C139" s="848" t="s">
        <v>958</v>
      </c>
      <c r="D139" s="848" t="s">
        <v>1302</v>
      </c>
      <c r="E139" s="848">
        <v>3480</v>
      </c>
      <c r="F139" s="1209">
        <v>0</v>
      </c>
    </row>
    <row r="140" spans="2:6">
      <c r="B140" s="454"/>
      <c r="C140" s="454"/>
      <c r="D140" s="454"/>
      <c r="E140" s="454"/>
      <c r="F140" s="212"/>
    </row>
    <row r="141" spans="2:6">
      <c r="B141" s="454"/>
      <c r="C141" s="454"/>
      <c r="D141" s="454"/>
      <c r="E141" s="454"/>
      <c r="F141" s="212"/>
    </row>
    <row r="142" spans="2:6">
      <c r="B142" s="454" t="s">
        <v>1783</v>
      </c>
      <c r="C142" s="454"/>
      <c r="D142" s="454" t="s">
        <v>890</v>
      </c>
      <c r="E142" s="454">
        <v>1693.64</v>
      </c>
      <c r="F142" s="212">
        <v>585.39</v>
      </c>
    </row>
    <row r="143" spans="2:6">
      <c r="B143" s="454" t="s">
        <v>1486</v>
      </c>
      <c r="C143" s="454"/>
      <c r="D143" s="454" t="s">
        <v>890</v>
      </c>
      <c r="E143" s="454">
        <v>17142.38</v>
      </c>
      <c r="F143" s="212">
        <v>17444.490000000002</v>
      </c>
    </row>
    <row r="144" spans="2:6">
      <c r="B144" s="454" t="s">
        <v>1411</v>
      </c>
      <c r="C144" s="454" t="s">
        <v>958</v>
      </c>
      <c r="D144" s="454" t="s">
        <v>890</v>
      </c>
      <c r="E144" s="454">
        <v>54792.19</v>
      </c>
      <c r="F144" s="212">
        <v>65879.960000000006</v>
      </c>
    </row>
    <row r="145" spans="2:6">
      <c r="B145" s="454" t="s">
        <v>228</v>
      </c>
      <c r="C145" s="454" t="s">
        <v>958</v>
      </c>
      <c r="D145" s="454" t="s">
        <v>890</v>
      </c>
      <c r="E145" s="454">
        <v>99251.39</v>
      </c>
      <c r="F145" s="212">
        <v>132861.85</v>
      </c>
    </row>
    <row r="146" spans="2:6" ht="13.5" thickBot="1">
      <c r="B146" s="454" t="s">
        <v>930</v>
      </c>
      <c r="C146" s="454" t="s">
        <v>958</v>
      </c>
      <c r="D146" s="454" t="s">
        <v>890</v>
      </c>
      <c r="E146" s="454">
        <v>43820.45</v>
      </c>
      <c r="F146" s="212">
        <v>60804.63</v>
      </c>
    </row>
    <row r="147" spans="2:6" ht="13.5" thickBot="1">
      <c r="B147" s="858"/>
      <c r="C147" s="848"/>
      <c r="D147" s="848"/>
      <c r="E147" s="859">
        <f>SUM(E142:E146)</f>
        <v>216700.05</v>
      </c>
      <c r="F147" s="1208">
        <f>SUM(F142:F146)</f>
        <v>277576.32000000001</v>
      </c>
    </row>
    <row r="148" spans="2:6">
      <c r="B148" s="454"/>
      <c r="C148" s="454"/>
      <c r="D148" s="454"/>
      <c r="E148" s="454"/>
      <c r="F148" s="212"/>
    </row>
    <row r="149" spans="2:6">
      <c r="B149" s="454" t="s">
        <v>67</v>
      </c>
      <c r="C149" s="454" t="s">
        <v>958</v>
      </c>
      <c r="D149" s="454" t="s">
        <v>68</v>
      </c>
      <c r="E149" s="454">
        <v>22440.38</v>
      </c>
      <c r="F149" s="212">
        <v>379677.74</v>
      </c>
    </row>
    <row r="150" spans="2:6">
      <c r="B150" s="454" t="s">
        <v>95</v>
      </c>
      <c r="C150" s="454" t="s">
        <v>958</v>
      </c>
      <c r="D150" s="454" t="s">
        <v>68</v>
      </c>
      <c r="E150" s="454">
        <v>118160.92</v>
      </c>
      <c r="F150" s="212">
        <v>32291.81</v>
      </c>
    </row>
    <row r="151" spans="2:6">
      <c r="B151" s="454" t="s">
        <v>172</v>
      </c>
      <c r="C151" s="454"/>
      <c r="D151" s="454"/>
      <c r="E151" s="454">
        <v>113812.4</v>
      </c>
      <c r="F151" s="212">
        <v>33552.550000000003</v>
      </c>
    </row>
    <row r="152" spans="2:6">
      <c r="B152" s="454" t="s">
        <v>2390</v>
      </c>
      <c r="C152" s="454"/>
      <c r="D152" s="454"/>
      <c r="E152" s="454"/>
      <c r="F152" s="212">
        <v>735</v>
      </c>
    </row>
    <row r="153" spans="2:6">
      <c r="B153" s="454" t="s">
        <v>934</v>
      </c>
      <c r="C153" s="454"/>
      <c r="D153" s="454"/>
      <c r="E153" s="454"/>
      <c r="F153" s="212">
        <v>770</v>
      </c>
    </row>
    <row r="154" spans="2:6" ht="13.5" thickBot="1">
      <c r="B154" s="454" t="s">
        <v>1787</v>
      </c>
      <c r="C154" s="454"/>
      <c r="D154" s="454" t="s">
        <v>96</v>
      </c>
      <c r="E154" s="454">
        <v>1306.25</v>
      </c>
      <c r="F154" s="212">
        <v>0</v>
      </c>
    </row>
    <row r="155" spans="2:6" ht="13.5" thickBot="1">
      <c r="B155" s="858"/>
      <c r="C155" s="848"/>
      <c r="D155" s="848"/>
      <c r="E155" s="859">
        <f>SUM(E149:E154)</f>
        <v>255719.94999999998</v>
      </c>
      <c r="F155" s="1208">
        <f>SUM(F149:F154)</f>
        <v>447027.1</v>
      </c>
    </row>
    <row r="156" spans="2:6">
      <c r="B156" s="454"/>
      <c r="C156" s="454"/>
      <c r="D156" s="454"/>
      <c r="E156" s="454"/>
      <c r="F156" s="212"/>
    </row>
    <row r="157" spans="2:6">
      <c r="B157" s="454" t="s">
        <v>1773</v>
      </c>
      <c r="C157" s="454" t="s">
        <v>958</v>
      </c>
      <c r="D157" s="454" t="s">
        <v>66</v>
      </c>
      <c r="E157" s="454">
        <v>1981.6</v>
      </c>
      <c r="F157" s="212">
        <v>0</v>
      </c>
    </row>
    <row r="158" spans="2:6">
      <c r="B158" s="454" t="s">
        <v>65</v>
      </c>
      <c r="C158" s="454" t="s">
        <v>958</v>
      </c>
      <c r="D158" s="454" t="s">
        <v>66</v>
      </c>
      <c r="E158" s="454">
        <v>235366.13</v>
      </c>
      <c r="F158" s="212">
        <v>175044.71</v>
      </c>
    </row>
    <row r="159" spans="2:6">
      <c r="B159" s="454" t="s">
        <v>94</v>
      </c>
      <c r="C159" s="454" t="s">
        <v>958</v>
      </c>
      <c r="D159" s="454" t="s">
        <v>66</v>
      </c>
      <c r="E159" s="454">
        <v>190192.73</v>
      </c>
      <c r="F159" s="212">
        <v>208427.64</v>
      </c>
    </row>
    <row r="160" spans="2:6">
      <c r="B160" s="454" t="s">
        <v>171</v>
      </c>
      <c r="C160" s="454" t="s">
        <v>958</v>
      </c>
      <c r="D160" s="454" t="s">
        <v>66</v>
      </c>
      <c r="E160" s="454">
        <v>367900.64</v>
      </c>
      <c r="F160" s="212">
        <v>355838.17</v>
      </c>
    </row>
    <row r="161" spans="2:6">
      <c r="B161" s="454" t="s">
        <v>214</v>
      </c>
      <c r="C161" s="454" t="s">
        <v>958</v>
      </c>
      <c r="D161" s="454" t="s">
        <v>66</v>
      </c>
      <c r="E161" s="454">
        <v>47668.06</v>
      </c>
      <c r="F161" s="212">
        <v>48403.93</v>
      </c>
    </row>
    <row r="162" spans="2:6">
      <c r="B162" s="454" t="s">
        <v>1785</v>
      </c>
      <c r="C162" s="454" t="s">
        <v>958</v>
      </c>
      <c r="D162" s="454" t="s">
        <v>66</v>
      </c>
      <c r="E162" s="454">
        <v>1260.8</v>
      </c>
      <c r="F162" s="212">
        <v>0</v>
      </c>
    </row>
    <row r="163" spans="2:6">
      <c r="B163" s="454" t="s">
        <v>767</v>
      </c>
      <c r="C163" s="454" t="s">
        <v>958</v>
      </c>
      <c r="D163" s="454" t="s">
        <v>66</v>
      </c>
      <c r="E163" s="454">
        <v>181259.48</v>
      </c>
      <c r="F163" s="212">
        <v>145438.93</v>
      </c>
    </row>
    <row r="164" spans="2:6">
      <c r="B164" s="454" t="s">
        <v>1414</v>
      </c>
      <c r="C164" s="454" t="s">
        <v>958</v>
      </c>
      <c r="D164" s="454" t="s">
        <v>66</v>
      </c>
      <c r="E164" s="454">
        <v>60595.23</v>
      </c>
      <c r="F164" s="212">
        <v>58891.92</v>
      </c>
    </row>
    <row r="165" spans="2:6">
      <c r="B165" s="454" t="s">
        <v>1498</v>
      </c>
      <c r="C165" s="454" t="s">
        <v>958</v>
      </c>
      <c r="D165" s="454" t="s">
        <v>66</v>
      </c>
      <c r="E165" s="454">
        <v>73261.13</v>
      </c>
      <c r="F165" s="212">
        <v>64826.879999999997</v>
      </c>
    </row>
    <row r="166" spans="2:6">
      <c r="B166" s="454" t="s">
        <v>1500</v>
      </c>
      <c r="C166" s="454" t="s">
        <v>958</v>
      </c>
      <c r="D166" s="454" t="s">
        <v>66</v>
      </c>
      <c r="E166" s="454">
        <v>38376.720000000001</v>
      </c>
      <c r="F166" s="212">
        <v>38376.720000000001</v>
      </c>
    </row>
    <row r="167" spans="2:6" ht="13.5" thickBot="1">
      <c r="B167" s="454" t="s">
        <v>933</v>
      </c>
      <c r="C167" s="454" t="s">
        <v>958</v>
      </c>
      <c r="D167" s="454" t="s">
        <v>66</v>
      </c>
      <c r="E167" s="454">
        <v>203665.76</v>
      </c>
      <c r="F167" s="212">
        <v>219346.81</v>
      </c>
    </row>
    <row r="168" spans="2:6" ht="13.5" thickBot="1">
      <c r="B168" s="858"/>
      <c r="C168" s="848"/>
      <c r="D168" s="848"/>
      <c r="E168" s="859">
        <f>SUM(E157:E167)</f>
        <v>1401528.2800000003</v>
      </c>
      <c r="F168" s="1208">
        <f>SUM(F157:F167)</f>
        <v>1314595.7100000002</v>
      </c>
    </row>
    <row r="169" spans="2:6">
      <c r="B169" s="454"/>
      <c r="C169" s="454"/>
      <c r="D169" s="454"/>
      <c r="E169" s="454"/>
      <c r="F169" s="212"/>
    </row>
    <row r="171" spans="2:6">
      <c r="B171" s="454" t="s">
        <v>71</v>
      </c>
      <c r="C171" s="454" t="s">
        <v>958</v>
      </c>
      <c r="D171" s="454" t="s">
        <v>1815</v>
      </c>
      <c r="E171" s="454">
        <v>10594.79</v>
      </c>
      <c r="F171" s="212">
        <v>14947.38</v>
      </c>
    </row>
    <row r="172" spans="2:6">
      <c r="B172" s="454" t="s">
        <v>99</v>
      </c>
      <c r="C172" s="454" t="s">
        <v>958</v>
      </c>
      <c r="D172" s="454" t="s">
        <v>1815</v>
      </c>
      <c r="E172" s="454">
        <v>10929.21</v>
      </c>
      <c r="F172" s="212">
        <v>11572.94</v>
      </c>
    </row>
    <row r="173" spans="2:6">
      <c r="B173" s="454" t="s">
        <v>129</v>
      </c>
      <c r="C173" s="454" t="s">
        <v>958</v>
      </c>
      <c r="D173" s="454" t="s">
        <v>1815</v>
      </c>
      <c r="E173" s="454">
        <v>1395.15</v>
      </c>
      <c r="F173" s="212">
        <v>1223.06</v>
      </c>
    </row>
    <row r="174" spans="2:6">
      <c r="B174" s="454" t="s">
        <v>149</v>
      </c>
      <c r="C174" s="454" t="s">
        <v>958</v>
      </c>
      <c r="D174" s="454" t="s">
        <v>1815</v>
      </c>
      <c r="E174" s="454">
        <v>2080.9699999999998</v>
      </c>
      <c r="F174" s="212">
        <v>2250.67</v>
      </c>
    </row>
    <row r="175" spans="2:6">
      <c r="B175" s="454" t="s">
        <v>175</v>
      </c>
      <c r="C175" s="454" t="s">
        <v>958</v>
      </c>
      <c r="D175" s="454" t="s">
        <v>1815</v>
      </c>
      <c r="E175" s="454">
        <v>17416.64</v>
      </c>
      <c r="F175" s="212">
        <v>24255.09</v>
      </c>
    </row>
    <row r="176" spans="2:6">
      <c r="B176" s="454" t="s">
        <v>206</v>
      </c>
      <c r="C176" s="454" t="s">
        <v>958</v>
      </c>
      <c r="D176" s="454" t="s">
        <v>1815</v>
      </c>
      <c r="E176" s="454">
        <v>1122.1300000000001</v>
      </c>
      <c r="F176" s="212">
        <v>1192.95</v>
      </c>
    </row>
    <row r="177" spans="2:6">
      <c r="B177" s="454" t="s">
        <v>217</v>
      </c>
      <c r="C177" s="454" t="s">
        <v>958</v>
      </c>
      <c r="D177" s="454" t="s">
        <v>1815</v>
      </c>
      <c r="E177" s="454">
        <v>1497.36</v>
      </c>
      <c r="F177" s="212">
        <v>1497.36</v>
      </c>
    </row>
    <row r="178" spans="2:6">
      <c r="B178" s="454" t="s">
        <v>860</v>
      </c>
      <c r="C178" s="454" t="s">
        <v>958</v>
      </c>
      <c r="D178" s="454" t="s">
        <v>1815</v>
      </c>
      <c r="E178" s="454">
        <v>20180.32</v>
      </c>
      <c r="F178" s="212">
        <v>20279.57</v>
      </c>
    </row>
    <row r="179" spans="2:6">
      <c r="B179" s="454" t="s">
        <v>879</v>
      </c>
      <c r="C179" s="454" t="s">
        <v>958</v>
      </c>
      <c r="D179" s="454" t="s">
        <v>1815</v>
      </c>
      <c r="E179" s="454">
        <v>1681.24</v>
      </c>
      <c r="F179" s="212">
        <v>1760.79</v>
      </c>
    </row>
    <row r="180" spans="2:6">
      <c r="B180" s="454" t="s">
        <v>893</v>
      </c>
      <c r="C180" s="454" t="s">
        <v>958</v>
      </c>
      <c r="D180" s="454" t="s">
        <v>1815</v>
      </c>
      <c r="E180" s="454">
        <v>23729.65</v>
      </c>
      <c r="F180" s="212">
        <v>28683.69</v>
      </c>
    </row>
    <row r="181" spans="2:6">
      <c r="B181" s="454" t="s">
        <v>1390</v>
      </c>
      <c r="C181" s="454" t="s">
        <v>958</v>
      </c>
      <c r="D181" s="454" t="s">
        <v>1815</v>
      </c>
      <c r="E181" s="454">
        <v>715.32</v>
      </c>
      <c r="F181" s="212">
        <v>1381.83</v>
      </c>
    </row>
    <row r="182" spans="2:6">
      <c r="B182" s="454" t="s">
        <v>1417</v>
      </c>
      <c r="C182" s="454" t="s">
        <v>958</v>
      </c>
      <c r="D182" s="454" t="s">
        <v>1815</v>
      </c>
      <c r="E182" s="454">
        <v>25562.52</v>
      </c>
      <c r="F182" s="212">
        <v>32265.69</v>
      </c>
    </row>
    <row r="183" spans="2:6">
      <c r="B183" s="454" t="s">
        <v>233</v>
      </c>
      <c r="C183" s="454" t="s">
        <v>958</v>
      </c>
      <c r="D183" s="454" t="s">
        <v>1815</v>
      </c>
      <c r="E183" s="454">
        <v>18448.810000000001</v>
      </c>
      <c r="F183" s="212">
        <v>23541.39</v>
      </c>
    </row>
    <row r="184" spans="2:6">
      <c r="B184" s="454" t="s">
        <v>271</v>
      </c>
      <c r="C184" s="454" t="s">
        <v>958</v>
      </c>
      <c r="D184" s="454" t="s">
        <v>1815</v>
      </c>
      <c r="E184" s="454">
        <v>1497.36</v>
      </c>
      <c r="F184" s="212">
        <v>1497.36</v>
      </c>
    </row>
    <row r="185" spans="2:6" ht="13.5" thickBot="1">
      <c r="B185" s="454" t="s">
        <v>937</v>
      </c>
      <c r="C185" s="454" t="s">
        <v>958</v>
      </c>
      <c r="D185" s="454" t="s">
        <v>1815</v>
      </c>
      <c r="E185" s="454">
        <v>16444.099999999999</v>
      </c>
      <c r="F185" s="212">
        <v>36179.160000000003</v>
      </c>
    </row>
    <row r="186" spans="2:6" ht="13.5" thickBot="1">
      <c r="B186" s="858"/>
      <c r="C186" s="848"/>
      <c r="D186" s="848"/>
      <c r="E186" s="859">
        <f>SUM(E170:E185)</f>
        <v>153295.57</v>
      </c>
      <c r="F186" s="1208">
        <f>SUM(F170:F185)</f>
        <v>202528.92999999996</v>
      </c>
    </row>
    <row r="187" spans="2:6">
      <c r="B187" s="454"/>
      <c r="C187" s="454"/>
      <c r="D187" s="454"/>
      <c r="E187" s="454"/>
      <c r="F187" s="212"/>
    </row>
    <row r="188" spans="2:6" ht="13.5" thickBot="1">
      <c r="B188" s="457" t="s">
        <v>2336</v>
      </c>
      <c r="C188" s="454"/>
      <c r="D188" s="454"/>
      <c r="E188" s="860">
        <f>E186+E155+E147+E139+E137+E120+E106+E96+E81+E64+E54+E38+E19+E168</f>
        <v>25481359.830000002</v>
      </c>
      <c r="F188" s="860">
        <f>F186+F155+F147+F139+F137+F120+F106+F96+F81+F64+F54+F38+F19+F168</f>
        <v>32475978.98</v>
      </c>
    </row>
    <row r="189" spans="2:6" ht="13.5" thickTop="1">
      <c r="B189" s="454"/>
      <c r="C189" s="454"/>
      <c r="D189" s="454"/>
      <c r="E189" s="454"/>
      <c r="F189" s="212"/>
    </row>
    <row r="190" spans="2:6">
      <c r="B190" s="454"/>
      <c r="C190" s="454"/>
      <c r="D190" s="454"/>
      <c r="E190" s="454"/>
      <c r="F190" s="212"/>
    </row>
    <row r="191" spans="2:6">
      <c r="B191" s="454"/>
      <c r="C191" s="454"/>
      <c r="D191" s="454"/>
      <c r="E191" s="454"/>
      <c r="F191" s="212"/>
    </row>
    <row r="192" spans="2:6">
      <c r="B192" s="454"/>
      <c r="C192" s="454"/>
      <c r="D192" s="454"/>
      <c r="E192" s="454"/>
      <c r="F192" s="212"/>
    </row>
    <row r="193" spans="2:6">
      <c r="B193" s="457" t="s">
        <v>1798</v>
      </c>
    </row>
    <row r="194" spans="2:6">
      <c r="B194" s="454" t="s">
        <v>384</v>
      </c>
      <c r="C194" s="454" t="s">
        <v>959</v>
      </c>
      <c r="D194" s="454" t="s">
        <v>1815</v>
      </c>
      <c r="E194" s="454">
        <v>3180.92</v>
      </c>
      <c r="F194" s="212">
        <v>3799.84</v>
      </c>
    </row>
    <row r="195" spans="2:6">
      <c r="B195" s="454" t="s">
        <v>387</v>
      </c>
      <c r="C195" s="454" t="s">
        <v>959</v>
      </c>
      <c r="D195" s="454" t="s">
        <v>1819</v>
      </c>
      <c r="E195" s="454">
        <v>572108.04</v>
      </c>
      <c r="F195" s="212">
        <v>589555.62</v>
      </c>
    </row>
    <row r="196" spans="2:6">
      <c r="B196" s="454" t="s">
        <v>1471</v>
      </c>
      <c r="C196" s="454"/>
      <c r="D196" s="454" t="s">
        <v>1818</v>
      </c>
      <c r="E196" s="454">
        <v>433355.02</v>
      </c>
      <c r="F196" s="212">
        <v>447550.93</v>
      </c>
    </row>
    <row r="197" spans="2:6">
      <c r="B197" s="454" t="s">
        <v>390</v>
      </c>
      <c r="C197" s="454" t="s">
        <v>959</v>
      </c>
      <c r="D197" s="454" t="s">
        <v>388</v>
      </c>
      <c r="E197" s="454">
        <v>1123880.32</v>
      </c>
      <c r="F197" s="212">
        <v>1172282.8500000001</v>
      </c>
    </row>
    <row r="198" spans="2:6">
      <c r="B198" s="454" t="s">
        <v>391</v>
      </c>
      <c r="C198" s="454" t="s">
        <v>959</v>
      </c>
      <c r="D198" s="454" t="s">
        <v>1820</v>
      </c>
      <c r="E198" s="454">
        <v>374625</v>
      </c>
      <c r="F198" s="212">
        <v>390763.33</v>
      </c>
    </row>
    <row r="199" spans="2:6">
      <c r="B199" s="454" t="s">
        <v>392</v>
      </c>
      <c r="C199" s="454" t="s">
        <v>959</v>
      </c>
      <c r="D199" s="454" t="s">
        <v>366</v>
      </c>
      <c r="E199" s="454">
        <v>96012</v>
      </c>
      <c r="F199" s="212">
        <v>100118.17</v>
      </c>
    </row>
    <row r="200" spans="2:6" ht="13.5" thickBot="1">
      <c r="B200" s="454" t="s">
        <v>393</v>
      </c>
      <c r="C200" s="454" t="s">
        <v>959</v>
      </c>
      <c r="D200" s="454" t="s">
        <v>394</v>
      </c>
      <c r="E200" s="454">
        <v>335464.15000000002</v>
      </c>
      <c r="F200" s="212">
        <v>271648.51</v>
      </c>
    </row>
    <row r="201" spans="2:6" ht="13.5" thickBot="1">
      <c r="B201" s="861"/>
      <c r="C201" s="862"/>
      <c r="D201" s="862"/>
      <c r="E201" s="848">
        <f>SUM(E194:E200)</f>
        <v>2938625.45</v>
      </c>
      <c r="F201" s="849">
        <f>SUM('EMPLOYEE COST 1011'!F194:F200)</f>
        <v>2975719.25</v>
      </c>
    </row>
    <row r="231" spans="2:6">
      <c r="B231" s="454"/>
      <c r="C231" s="454"/>
      <c r="D231" s="454"/>
      <c r="E231" s="454"/>
      <c r="F231" s="212"/>
    </row>
    <row r="232" spans="2:6">
      <c r="B232" s="454"/>
      <c r="C232" s="454"/>
      <c r="D232" s="454"/>
      <c r="E232" s="454"/>
      <c r="F232" s="212"/>
    </row>
    <row r="233" spans="2:6">
      <c r="B233" s="454"/>
      <c r="C233" s="454"/>
      <c r="D233" s="454"/>
      <c r="E233" s="454"/>
      <c r="F233" s="212"/>
    </row>
    <row r="234" spans="2:6">
      <c r="B234" s="454"/>
      <c r="C234" s="454"/>
      <c r="D234" s="454"/>
      <c r="E234" s="454"/>
      <c r="F234" s="212"/>
    </row>
    <row r="235" spans="2:6">
      <c r="B235" s="454"/>
      <c r="C235" s="454"/>
      <c r="D235" s="454"/>
      <c r="E235" s="454"/>
      <c r="F235" s="212"/>
    </row>
    <row r="236" spans="2:6">
      <c r="B236" s="454"/>
      <c r="C236" s="454"/>
      <c r="D236" s="454"/>
      <c r="E236" s="454"/>
      <c r="F236" s="212"/>
    </row>
    <row r="237" spans="2:6">
      <c r="B237" s="454"/>
      <c r="C237" s="454"/>
      <c r="D237" s="454"/>
      <c r="E237" s="454"/>
      <c r="F237" s="212"/>
    </row>
    <row r="238" spans="2:6">
      <c r="B238" s="454"/>
      <c r="C238" s="454"/>
      <c r="D238" s="454"/>
      <c r="E238" s="454"/>
      <c r="F238" s="212"/>
    </row>
    <row r="239" spans="2:6">
      <c r="B239" s="454"/>
      <c r="C239" s="454"/>
      <c r="D239" s="454"/>
      <c r="E239" s="454"/>
      <c r="F239" s="212"/>
    </row>
    <row r="240" spans="2:6">
      <c r="B240" s="454"/>
      <c r="C240" s="454"/>
      <c r="D240" s="454"/>
      <c r="E240" s="454"/>
      <c r="F240" s="212"/>
    </row>
    <row r="241" spans="2:6">
      <c r="B241" s="454"/>
      <c r="C241" s="454"/>
      <c r="D241" s="454"/>
      <c r="E241" s="454"/>
      <c r="F241" s="212"/>
    </row>
    <row r="242" spans="2:6">
      <c r="B242" s="454"/>
      <c r="C242" s="454"/>
      <c r="D242" s="454"/>
      <c r="E242" s="454"/>
      <c r="F242" s="212"/>
    </row>
    <row r="243" spans="2:6">
      <c r="B243" s="454"/>
      <c r="C243" s="454"/>
      <c r="D243" s="454"/>
      <c r="E243" s="454"/>
      <c r="F243" s="212"/>
    </row>
    <row r="244" spans="2:6">
      <c r="B244" s="454"/>
      <c r="C244" s="454"/>
      <c r="D244" s="454"/>
      <c r="E244" s="454"/>
      <c r="F244" s="212"/>
    </row>
  </sheetData>
  <sortState ref="B339:F516">
    <sortCondition ref="E339:E516"/>
  </sortState>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dimension ref="B1:G185"/>
  <sheetViews>
    <sheetView view="pageBreakPreview" topLeftCell="B164" zoomScale="180" zoomScaleSheetLayoutView="180" workbookViewId="0">
      <selection activeCell="D183" sqref="D183"/>
    </sheetView>
  </sheetViews>
  <sheetFormatPr defaultRowHeight="12.75"/>
  <cols>
    <col min="1" max="1" width="9.140625" style="363"/>
    <col min="2" max="2" width="26" style="363" bestFit="1" customWidth="1"/>
    <col min="3" max="3" width="15.7109375" style="363" bestFit="1" customWidth="1"/>
    <col min="4" max="4" width="20.140625" style="363" bestFit="1" customWidth="1"/>
    <col min="5" max="5" width="14.42578125" style="363" bestFit="1" customWidth="1"/>
    <col min="6" max="6" width="14.42578125" style="512" bestFit="1" customWidth="1"/>
    <col min="7" max="16384" width="9.140625" style="363"/>
  </cols>
  <sheetData>
    <row r="1" spans="2:7">
      <c r="B1" s="363" t="s">
        <v>2112</v>
      </c>
    </row>
    <row r="2" spans="2:7">
      <c r="E2" s="363" t="s">
        <v>2095</v>
      </c>
      <c r="F2" s="512" t="s">
        <v>2096</v>
      </c>
    </row>
    <row r="3" spans="2:7" ht="13.5" thickBot="1"/>
    <row r="4" spans="2:7">
      <c r="B4" s="914" t="s">
        <v>409</v>
      </c>
      <c r="C4" s="915" t="s">
        <v>962</v>
      </c>
      <c r="D4" s="915" t="s">
        <v>410</v>
      </c>
      <c r="E4" s="915">
        <f>94022.3-1481.68</f>
        <v>92540.62000000001</v>
      </c>
      <c r="F4" s="1034">
        <v>15153</v>
      </c>
    </row>
    <row r="5" spans="2:7">
      <c r="B5" s="916" t="s">
        <v>1775</v>
      </c>
      <c r="C5" s="454" t="s">
        <v>962</v>
      </c>
      <c r="D5" s="454" t="s">
        <v>410</v>
      </c>
      <c r="E5" s="454">
        <v>96800</v>
      </c>
      <c r="F5" s="958"/>
    </row>
    <row r="6" spans="2:7">
      <c r="B6" s="916" t="s">
        <v>1062</v>
      </c>
      <c r="C6" s="454" t="s">
        <v>962</v>
      </c>
      <c r="D6" s="454" t="s">
        <v>410</v>
      </c>
      <c r="E6" s="454">
        <v>7519</v>
      </c>
      <c r="F6" s="958">
        <v>9170</v>
      </c>
    </row>
    <row r="7" spans="2:7">
      <c r="B7" s="916" t="s">
        <v>104</v>
      </c>
      <c r="C7" s="454" t="s">
        <v>962</v>
      </c>
      <c r="D7" s="454" t="s">
        <v>410</v>
      </c>
      <c r="E7" s="454"/>
      <c r="F7" s="958">
        <v>9082.75</v>
      </c>
    </row>
    <row r="8" spans="2:7" ht="13.5" thickBot="1">
      <c r="B8" s="917" t="s">
        <v>1777</v>
      </c>
      <c r="C8" s="918" t="s">
        <v>962</v>
      </c>
      <c r="D8" s="918" t="s">
        <v>410</v>
      </c>
      <c r="E8" s="918">
        <v>2934.3</v>
      </c>
      <c r="F8" s="959">
        <v>5383.95</v>
      </c>
      <c r="G8" s="363">
        <f>SUM(F4:F8)</f>
        <v>38789.699999999997</v>
      </c>
    </row>
    <row r="9" spans="2:7" ht="13.5" thickBot="1">
      <c r="B9" s="919" t="s">
        <v>180</v>
      </c>
      <c r="C9" s="920" t="s">
        <v>962</v>
      </c>
      <c r="D9" s="920" t="s">
        <v>181</v>
      </c>
      <c r="E9" s="920">
        <v>1436790.58</v>
      </c>
      <c r="F9" s="960">
        <v>401024.75</v>
      </c>
    </row>
    <row r="10" spans="2:7" ht="13.5" thickBot="1">
      <c r="B10" s="919" t="s">
        <v>182</v>
      </c>
      <c r="C10" s="920" t="s">
        <v>962</v>
      </c>
      <c r="D10" s="920" t="s">
        <v>181</v>
      </c>
      <c r="E10" s="920">
        <v>728360.41</v>
      </c>
      <c r="F10" s="960">
        <f>1413966.36-74.4</f>
        <v>1413891.9600000002</v>
      </c>
    </row>
    <row r="11" spans="2:7" ht="13.5" thickBot="1">
      <c r="B11" s="919" t="s">
        <v>183</v>
      </c>
      <c r="C11" s="920" t="s">
        <v>962</v>
      </c>
      <c r="D11" s="920" t="s">
        <v>1323</v>
      </c>
      <c r="E11" s="920">
        <v>355338.47</v>
      </c>
      <c r="F11" s="960">
        <v>226464.78</v>
      </c>
    </row>
    <row r="12" spans="2:7" ht="13.5" thickBot="1">
      <c r="B12" s="921" t="s">
        <v>850</v>
      </c>
      <c r="C12" s="921" t="s">
        <v>962</v>
      </c>
      <c r="D12" s="921" t="s">
        <v>52</v>
      </c>
      <c r="E12" s="921">
        <v>3325</v>
      </c>
      <c r="F12" s="596"/>
    </row>
    <row r="13" spans="2:7" ht="13.5" thickBot="1">
      <c r="B13" s="919" t="s">
        <v>1473</v>
      </c>
      <c r="C13" s="920" t="s">
        <v>962</v>
      </c>
      <c r="D13" s="920" t="s">
        <v>1480</v>
      </c>
      <c r="E13" s="920">
        <v>304405.32</v>
      </c>
      <c r="F13" s="960">
        <v>209373.43</v>
      </c>
    </row>
    <row r="14" spans="2:7" ht="13.5" thickBot="1">
      <c r="B14" s="921" t="s">
        <v>1488</v>
      </c>
      <c r="C14" s="921" t="s">
        <v>962</v>
      </c>
      <c r="D14" s="921" t="s">
        <v>1912</v>
      </c>
      <c r="E14" s="921">
        <v>20386.37</v>
      </c>
      <c r="F14" s="596"/>
    </row>
    <row r="15" spans="2:7">
      <c r="B15" s="914" t="s">
        <v>411</v>
      </c>
      <c r="C15" s="915" t="s">
        <v>962</v>
      </c>
      <c r="D15" s="915" t="s">
        <v>412</v>
      </c>
      <c r="E15" s="915">
        <v>61115.45</v>
      </c>
      <c r="F15" s="1034">
        <v>43153.27</v>
      </c>
    </row>
    <row r="16" spans="2:7">
      <c r="B16" s="916" t="s">
        <v>77</v>
      </c>
      <c r="C16" s="454" t="s">
        <v>962</v>
      </c>
      <c r="D16" s="454" t="s">
        <v>412</v>
      </c>
      <c r="E16" s="454">
        <v>51616</v>
      </c>
      <c r="F16" s="958">
        <v>1315.79</v>
      </c>
    </row>
    <row r="17" spans="2:7">
      <c r="B17" s="916" t="s">
        <v>1063</v>
      </c>
      <c r="C17" s="454" t="s">
        <v>962</v>
      </c>
      <c r="D17" s="454" t="s">
        <v>412</v>
      </c>
      <c r="E17" s="454"/>
      <c r="F17" s="958">
        <v>500</v>
      </c>
    </row>
    <row r="18" spans="2:7">
      <c r="B18" s="916" t="s">
        <v>105</v>
      </c>
      <c r="C18" s="454" t="s">
        <v>962</v>
      </c>
      <c r="D18" s="454" t="s">
        <v>412</v>
      </c>
      <c r="E18" s="454">
        <v>3484.63</v>
      </c>
      <c r="F18" s="958"/>
    </row>
    <row r="19" spans="2:7">
      <c r="B19" s="916" t="s">
        <v>115</v>
      </c>
      <c r="C19" s="454" t="s">
        <v>962</v>
      </c>
      <c r="D19" s="454" t="s">
        <v>412</v>
      </c>
      <c r="E19" s="454">
        <v>228.57</v>
      </c>
      <c r="F19" s="958">
        <v>4615.79</v>
      </c>
    </row>
    <row r="20" spans="2:7">
      <c r="B20" s="916" t="s">
        <v>184</v>
      </c>
      <c r="C20" s="454" t="s">
        <v>962</v>
      </c>
      <c r="D20" s="454" t="s">
        <v>412</v>
      </c>
      <c r="E20" s="454">
        <v>24569.34</v>
      </c>
      <c r="F20" s="958"/>
    </row>
    <row r="21" spans="2:7">
      <c r="B21" s="916" t="s">
        <v>738</v>
      </c>
      <c r="C21" s="454" t="s">
        <v>962</v>
      </c>
      <c r="D21" s="454" t="s">
        <v>412</v>
      </c>
      <c r="E21" s="454">
        <v>166</v>
      </c>
      <c r="F21" s="958"/>
    </row>
    <row r="22" spans="2:7">
      <c r="B22" s="916" t="s">
        <v>908</v>
      </c>
      <c r="C22" s="454" t="s">
        <v>962</v>
      </c>
      <c r="D22" s="454" t="s">
        <v>412</v>
      </c>
      <c r="E22" s="454">
        <v>3085</v>
      </c>
      <c r="F22" s="958"/>
    </row>
    <row r="23" spans="2:7">
      <c r="B23" s="916" t="s">
        <v>916</v>
      </c>
      <c r="C23" s="454" t="s">
        <v>962</v>
      </c>
      <c r="D23" s="454" t="s">
        <v>412</v>
      </c>
      <c r="E23" s="454">
        <v>981</v>
      </c>
      <c r="F23" s="958"/>
    </row>
    <row r="24" spans="2:7" ht="13.5" thickBot="1">
      <c r="B24" s="916" t="s">
        <v>946</v>
      </c>
      <c r="C24" s="454" t="s">
        <v>962</v>
      </c>
      <c r="D24" s="454" t="s">
        <v>412</v>
      </c>
      <c r="E24" s="454">
        <v>17160.96</v>
      </c>
      <c r="F24" s="958"/>
      <c r="G24" s="363">
        <f>SUM(F15:F24)</f>
        <v>49584.85</v>
      </c>
    </row>
    <row r="25" spans="2:7">
      <c r="B25" s="914" t="s">
        <v>413</v>
      </c>
      <c r="C25" s="915" t="s">
        <v>962</v>
      </c>
      <c r="D25" s="915" t="s">
        <v>79</v>
      </c>
      <c r="E25" s="915">
        <v>0</v>
      </c>
      <c r="F25" s="1034">
        <v>30178.85</v>
      </c>
    </row>
    <row r="26" spans="2:7">
      <c r="B26" s="916" t="s">
        <v>78</v>
      </c>
      <c r="C26" s="454" t="s">
        <v>962</v>
      </c>
      <c r="D26" s="454" t="s">
        <v>79</v>
      </c>
      <c r="E26" s="454">
        <f>2250464.34-294395.63</f>
        <v>1956068.71</v>
      </c>
      <c r="F26" s="958">
        <f>1515703.24+18480</f>
        <v>1534183.24</v>
      </c>
    </row>
    <row r="27" spans="2:7">
      <c r="B27" s="916" t="s">
        <v>1064</v>
      </c>
      <c r="C27" s="454" t="s">
        <v>962</v>
      </c>
      <c r="D27" s="454" t="s">
        <v>79</v>
      </c>
      <c r="E27" s="454">
        <v>280704.07</v>
      </c>
      <c r="F27" s="958"/>
    </row>
    <row r="28" spans="2:7">
      <c r="B28" s="916" t="s">
        <v>116</v>
      </c>
      <c r="C28" s="454" t="s">
        <v>962</v>
      </c>
      <c r="D28" s="454" t="s">
        <v>79</v>
      </c>
      <c r="E28" s="454">
        <v>180533.55</v>
      </c>
      <c r="F28" s="958"/>
    </row>
    <row r="29" spans="2:7">
      <c r="B29" s="916" t="s">
        <v>185</v>
      </c>
      <c r="C29" s="454" t="s">
        <v>962</v>
      </c>
      <c r="D29" s="454" t="s">
        <v>79</v>
      </c>
      <c r="E29" s="454">
        <v>104024.89</v>
      </c>
      <c r="F29" s="958">
        <v>0</v>
      </c>
    </row>
    <row r="30" spans="2:7" ht="13.5" thickBot="1">
      <c r="B30" s="916" t="s">
        <v>739</v>
      </c>
      <c r="C30" s="454" t="s">
        <v>962</v>
      </c>
      <c r="D30" s="454" t="s">
        <v>79</v>
      </c>
      <c r="E30" s="454">
        <v>443424.65</v>
      </c>
      <c r="F30" s="958">
        <v>402440.01</v>
      </c>
      <c r="G30" s="363">
        <f>SUM(F25:F30)</f>
        <v>1966802.1</v>
      </c>
    </row>
    <row r="31" spans="2:7">
      <c r="B31" s="914" t="s">
        <v>415</v>
      </c>
      <c r="C31" s="915" t="s">
        <v>962</v>
      </c>
      <c r="D31" s="915" t="s">
        <v>416</v>
      </c>
      <c r="E31" s="915">
        <v>34133.5</v>
      </c>
      <c r="F31" s="1034">
        <v>1932.01</v>
      </c>
    </row>
    <row r="32" spans="2:7">
      <c r="B32" s="916" t="s">
        <v>80</v>
      </c>
      <c r="C32" s="454" t="s">
        <v>962</v>
      </c>
      <c r="D32" s="454" t="s">
        <v>416</v>
      </c>
      <c r="E32" s="454">
        <v>593.46</v>
      </c>
      <c r="F32" s="958">
        <v>236.77</v>
      </c>
    </row>
    <row r="33" spans="2:7">
      <c r="B33" s="916" t="s">
        <v>107</v>
      </c>
      <c r="C33" s="454" t="s">
        <v>962</v>
      </c>
      <c r="D33" s="454" t="s">
        <v>416</v>
      </c>
      <c r="E33" s="454">
        <v>1607.36</v>
      </c>
      <c r="F33" s="958">
        <v>3094.07</v>
      </c>
    </row>
    <row r="34" spans="2:7">
      <c r="B34" s="916" t="s">
        <v>134</v>
      </c>
      <c r="C34" s="454" t="s">
        <v>962</v>
      </c>
      <c r="D34" s="454" t="s">
        <v>416</v>
      </c>
      <c r="E34" s="454">
        <v>1709.51</v>
      </c>
      <c r="F34" s="958"/>
    </row>
    <row r="35" spans="2:7">
      <c r="B35" s="916" t="s">
        <v>155</v>
      </c>
      <c r="C35" s="454" t="s">
        <v>962</v>
      </c>
      <c r="D35" s="454" t="s">
        <v>416</v>
      </c>
      <c r="E35" s="454">
        <v>12</v>
      </c>
      <c r="F35" s="958"/>
    </row>
    <row r="36" spans="2:7">
      <c r="B36" s="916" t="s">
        <v>867</v>
      </c>
      <c r="C36" s="454" t="s">
        <v>962</v>
      </c>
      <c r="D36" s="454" t="s">
        <v>416</v>
      </c>
      <c r="E36" s="454">
        <v>1161.56</v>
      </c>
      <c r="F36" s="958">
        <v>1631.7</v>
      </c>
    </row>
    <row r="37" spans="2:7">
      <c r="B37" s="916" t="s">
        <v>883</v>
      </c>
      <c r="C37" s="454" t="s">
        <v>962</v>
      </c>
      <c r="D37" s="454" t="s">
        <v>416</v>
      </c>
      <c r="E37" s="454">
        <v>2704.05</v>
      </c>
      <c r="F37" s="958">
        <v>1285.3699999999999</v>
      </c>
    </row>
    <row r="38" spans="2:7">
      <c r="B38" s="916" t="s">
        <v>754</v>
      </c>
      <c r="C38" s="454" t="s">
        <v>962</v>
      </c>
      <c r="D38" s="454" t="s">
        <v>416</v>
      </c>
      <c r="E38" s="454">
        <v>134610.22</v>
      </c>
      <c r="F38" s="958">
        <v>102171.46</v>
      </c>
    </row>
    <row r="39" spans="2:7">
      <c r="B39" s="916" t="s">
        <v>1397</v>
      </c>
      <c r="C39" s="454" t="s">
        <v>962</v>
      </c>
      <c r="D39" s="454" t="s">
        <v>416</v>
      </c>
      <c r="E39" s="454">
        <v>420.29</v>
      </c>
      <c r="F39" s="958">
        <v>1840.96</v>
      </c>
    </row>
    <row r="40" spans="2:7">
      <c r="B40" s="916" t="s">
        <v>1431</v>
      </c>
      <c r="C40" s="454" t="s">
        <v>962</v>
      </c>
      <c r="D40" s="454" t="s">
        <v>416</v>
      </c>
      <c r="E40" s="454">
        <v>-5272.5</v>
      </c>
      <c r="F40" s="958"/>
    </row>
    <row r="41" spans="2:7">
      <c r="B41" s="916" t="s">
        <v>220</v>
      </c>
      <c r="C41" s="454" t="s">
        <v>962</v>
      </c>
      <c r="D41" s="454" t="s">
        <v>416</v>
      </c>
      <c r="E41" s="454">
        <v>70525.34</v>
      </c>
      <c r="F41" s="958">
        <v>69962.83</v>
      </c>
    </row>
    <row r="42" spans="2:7">
      <c r="B42" s="916" t="s">
        <v>245</v>
      </c>
      <c r="C42" s="454" t="s">
        <v>962</v>
      </c>
      <c r="D42" s="454" t="s">
        <v>416</v>
      </c>
      <c r="E42" s="454">
        <v>6652.45</v>
      </c>
      <c r="F42" s="958">
        <v>11779.39</v>
      </c>
    </row>
    <row r="43" spans="2:7">
      <c r="B43" s="916" t="s">
        <v>263</v>
      </c>
      <c r="C43" s="454" t="s">
        <v>962</v>
      </c>
      <c r="D43" s="454" t="s">
        <v>416</v>
      </c>
      <c r="E43" s="454">
        <v>2446.89</v>
      </c>
      <c r="F43" s="958">
        <v>1755</v>
      </c>
    </row>
    <row r="44" spans="2:7">
      <c r="B44" s="916" t="s">
        <v>909</v>
      </c>
      <c r="C44" s="454" t="s">
        <v>962</v>
      </c>
      <c r="D44" s="454" t="s">
        <v>416</v>
      </c>
      <c r="E44" s="454"/>
      <c r="F44" s="958">
        <v>2500</v>
      </c>
    </row>
    <row r="45" spans="2:7" ht="13.5" thickBot="1">
      <c r="B45" s="917" t="s">
        <v>947</v>
      </c>
      <c r="C45" s="918" t="s">
        <v>962</v>
      </c>
      <c r="D45" s="918" t="s">
        <v>416</v>
      </c>
      <c r="E45" s="918">
        <v>2698.13</v>
      </c>
      <c r="F45" s="959">
        <v>10642.78</v>
      </c>
      <c r="G45" s="363">
        <f>SUM(F31:F45)</f>
        <v>208832.34</v>
      </c>
    </row>
    <row r="46" spans="2:7" ht="13.5" thickBot="1">
      <c r="B46" s="922" t="s">
        <v>45</v>
      </c>
      <c r="C46" s="923" t="s">
        <v>962</v>
      </c>
      <c r="D46" s="923" t="s">
        <v>46</v>
      </c>
      <c r="E46" s="923">
        <v>37668.94</v>
      </c>
      <c r="F46" s="961"/>
    </row>
    <row r="47" spans="2:7">
      <c r="B47" s="914" t="s">
        <v>417</v>
      </c>
      <c r="C47" s="915" t="s">
        <v>962</v>
      </c>
      <c r="D47" s="915" t="s">
        <v>418</v>
      </c>
      <c r="E47" s="915">
        <v>214416.86</v>
      </c>
      <c r="F47" s="1034">
        <f>76989.67+74.4</f>
        <v>77064.069999999992</v>
      </c>
    </row>
    <row r="48" spans="2:7">
      <c r="B48" s="916" t="s">
        <v>419</v>
      </c>
      <c r="C48" s="454" t="s">
        <v>962</v>
      </c>
      <c r="D48" s="454" t="s">
        <v>420</v>
      </c>
      <c r="E48" s="454">
        <v>242179.95</v>
      </c>
      <c r="F48" s="958">
        <v>145024.95000000001</v>
      </c>
    </row>
    <row r="49" spans="2:7" ht="13.5" thickBot="1">
      <c r="B49" s="916" t="s">
        <v>81</v>
      </c>
      <c r="C49" s="454" t="s">
        <v>962</v>
      </c>
      <c r="D49" s="454" t="s">
        <v>420</v>
      </c>
      <c r="E49" s="454">
        <v>27739</v>
      </c>
      <c r="F49" s="958"/>
      <c r="G49" s="363">
        <f>SUM(F47:F49)</f>
        <v>222089.02000000002</v>
      </c>
    </row>
    <row r="50" spans="2:7">
      <c r="B50" s="914" t="s">
        <v>421</v>
      </c>
      <c r="C50" s="915" t="s">
        <v>962</v>
      </c>
      <c r="D50" s="915" t="s">
        <v>422</v>
      </c>
      <c r="E50" s="915">
        <v>69385.95</v>
      </c>
      <c r="F50" s="1034">
        <v>97078.84</v>
      </c>
    </row>
    <row r="51" spans="2:7">
      <c r="B51" s="916" t="s">
        <v>868</v>
      </c>
      <c r="C51" s="454" t="s">
        <v>962</v>
      </c>
      <c r="D51" s="454" t="s">
        <v>422</v>
      </c>
      <c r="E51" s="454">
        <v>4594.92</v>
      </c>
      <c r="F51" s="958">
        <v>490.85</v>
      </c>
    </row>
    <row r="52" spans="2:7">
      <c r="B52" s="916" t="s">
        <v>755</v>
      </c>
      <c r="C52" s="454" t="s">
        <v>962</v>
      </c>
      <c r="D52" s="454" t="s">
        <v>422</v>
      </c>
      <c r="E52" s="454">
        <v>116532.57</v>
      </c>
      <c r="F52" s="958">
        <v>357033.73</v>
      </c>
    </row>
    <row r="53" spans="2:7">
      <c r="B53" s="916" t="s">
        <v>1432</v>
      </c>
      <c r="C53" s="454" t="s">
        <v>962</v>
      </c>
      <c r="D53" s="454" t="s">
        <v>422</v>
      </c>
      <c r="E53" s="454">
        <v>128435.57</v>
      </c>
      <c r="F53" s="958">
        <v>3776.41</v>
      </c>
    </row>
    <row r="54" spans="2:7">
      <c r="B54" s="916" t="s">
        <v>246</v>
      </c>
      <c r="C54" s="454" t="s">
        <v>962</v>
      </c>
      <c r="D54" s="454" t="s">
        <v>422</v>
      </c>
      <c r="E54" s="454">
        <v>137254.54999999999</v>
      </c>
      <c r="F54" s="958">
        <v>106826.8</v>
      </c>
    </row>
    <row r="55" spans="2:7" ht="13.5" thickBot="1">
      <c r="B55" s="917" t="s">
        <v>948</v>
      </c>
      <c r="C55" s="918" t="s">
        <v>962</v>
      </c>
      <c r="D55" s="918" t="s">
        <v>422</v>
      </c>
      <c r="E55" s="918">
        <v>84842.67</v>
      </c>
      <c r="F55" s="959">
        <v>137255.09</v>
      </c>
      <c r="G55" s="363">
        <f>SUM(F50:F55)</f>
        <v>702461.72</v>
      </c>
    </row>
    <row r="56" spans="2:7">
      <c r="B56" s="1035" t="s">
        <v>1475</v>
      </c>
      <c r="C56" s="1035" t="s">
        <v>962</v>
      </c>
      <c r="D56" s="1035" t="s">
        <v>1512</v>
      </c>
      <c r="E56" s="1035">
        <v>28317.360000000001</v>
      </c>
      <c r="F56" s="597">
        <v>13703.24</v>
      </c>
    </row>
    <row r="57" spans="2:7">
      <c r="B57" s="863" t="s">
        <v>406</v>
      </c>
      <c r="C57" s="863" t="s">
        <v>962</v>
      </c>
      <c r="D57" s="863" t="s">
        <v>408</v>
      </c>
      <c r="E57" s="863">
        <v>412242.65</v>
      </c>
      <c r="F57" s="962">
        <v>183944</v>
      </c>
    </row>
    <row r="58" spans="2:7">
      <c r="B58" s="863" t="s">
        <v>743</v>
      </c>
      <c r="C58" s="863" t="s">
        <v>962</v>
      </c>
      <c r="D58" s="863" t="s">
        <v>744</v>
      </c>
      <c r="E58" s="863">
        <f>-532134.27+237738.64+294395.63</f>
        <v>0</v>
      </c>
      <c r="F58" s="962"/>
    </row>
    <row r="59" spans="2:7">
      <c r="B59" s="863" t="s">
        <v>847</v>
      </c>
      <c r="C59" s="863" t="s">
        <v>962</v>
      </c>
      <c r="D59" s="863" t="s">
        <v>848</v>
      </c>
      <c r="E59" s="863">
        <v>750</v>
      </c>
      <c r="F59" s="962"/>
    </row>
    <row r="60" spans="2:7" ht="13.5" thickBot="1">
      <c r="B60" s="864" t="s">
        <v>900</v>
      </c>
      <c r="C60" s="864" t="s">
        <v>962</v>
      </c>
      <c r="D60" s="864" t="s">
        <v>333</v>
      </c>
      <c r="E60" s="864">
        <v>27544.85</v>
      </c>
      <c r="F60" s="595"/>
    </row>
    <row r="61" spans="2:7">
      <c r="B61" s="914" t="s">
        <v>1484</v>
      </c>
      <c r="C61" s="915" t="s">
        <v>962</v>
      </c>
      <c r="D61" s="915" t="s">
        <v>199</v>
      </c>
      <c r="E61" s="915">
        <v>1432846.15</v>
      </c>
      <c r="F61" s="1034">
        <v>1698694.46</v>
      </c>
    </row>
    <row r="62" spans="2:7" ht="13.5" thickBot="1">
      <c r="B62" s="916" t="s">
        <v>1485</v>
      </c>
      <c r="C62" s="454" t="s">
        <v>962</v>
      </c>
      <c r="D62" s="454" t="s">
        <v>199</v>
      </c>
      <c r="E62" s="454">
        <v>166191.37</v>
      </c>
      <c r="F62" s="958">
        <v>136171.25</v>
      </c>
      <c r="G62" s="363">
        <f>SUM(F61:F62)</f>
        <v>1834865.71</v>
      </c>
    </row>
    <row r="63" spans="2:7">
      <c r="B63" s="914" t="s">
        <v>82</v>
      </c>
      <c r="C63" s="915" t="s">
        <v>962</v>
      </c>
      <c r="D63" s="915" t="s">
        <v>1303</v>
      </c>
      <c r="E63" s="915">
        <v>353.91</v>
      </c>
      <c r="F63" s="1034">
        <v>13036.9</v>
      </c>
    </row>
    <row r="64" spans="2:7">
      <c r="B64" s="916" t="s">
        <v>108</v>
      </c>
      <c r="C64" s="454" t="s">
        <v>962</v>
      </c>
      <c r="D64" s="454" t="s">
        <v>1303</v>
      </c>
      <c r="E64" s="454">
        <v>4503.2700000000004</v>
      </c>
      <c r="F64" s="958">
        <v>6678.87</v>
      </c>
    </row>
    <row r="65" spans="2:7">
      <c r="B65" s="916" t="s">
        <v>135</v>
      </c>
      <c r="C65" s="454" t="s">
        <v>962</v>
      </c>
      <c r="D65" s="454" t="s">
        <v>1303</v>
      </c>
      <c r="E65" s="454"/>
      <c r="F65" s="958">
        <v>6969</v>
      </c>
    </row>
    <row r="66" spans="2:7">
      <c r="B66" s="916" t="s">
        <v>186</v>
      </c>
      <c r="C66" s="454" t="s">
        <v>962</v>
      </c>
      <c r="D66" s="454" t="s">
        <v>1303</v>
      </c>
      <c r="E66" s="454">
        <v>266024.94</v>
      </c>
      <c r="F66" s="958">
        <v>161016.1</v>
      </c>
    </row>
    <row r="67" spans="2:7">
      <c r="B67" s="916" t="s">
        <v>209</v>
      </c>
      <c r="C67" s="454" t="s">
        <v>962</v>
      </c>
      <c r="D67" s="454" t="s">
        <v>1303</v>
      </c>
      <c r="E67" s="454"/>
      <c r="F67" s="958">
        <v>2492.98</v>
      </c>
    </row>
    <row r="68" spans="2:7">
      <c r="B68" s="916" t="s">
        <v>869</v>
      </c>
      <c r="C68" s="454" t="s">
        <v>962</v>
      </c>
      <c r="D68" s="454" t="s">
        <v>1303</v>
      </c>
      <c r="E68" s="454"/>
      <c r="F68" s="958">
        <v>19305.259999999998</v>
      </c>
    </row>
    <row r="69" spans="2:7">
      <c r="B69" s="916" t="s">
        <v>884</v>
      </c>
      <c r="C69" s="454" t="s">
        <v>962</v>
      </c>
      <c r="D69" s="454" t="s">
        <v>1303</v>
      </c>
      <c r="E69" s="454"/>
      <c r="F69" s="958">
        <v>4410</v>
      </c>
    </row>
    <row r="70" spans="2:7">
      <c r="B70" s="916" t="s">
        <v>756</v>
      </c>
      <c r="C70" s="454" t="s">
        <v>962</v>
      </c>
      <c r="D70" s="454" t="s">
        <v>1303</v>
      </c>
      <c r="E70" s="454"/>
      <c r="F70" s="958">
        <v>7871.93</v>
      </c>
    </row>
    <row r="71" spans="2:7">
      <c r="B71" s="916" t="s">
        <v>1398</v>
      </c>
      <c r="C71" s="454" t="s">
        <v>962</v>
      </c>
      <c r="D71" s="454" t="s">
        <v>1303</v>
      </c>
      <c r="E71" s="454">
        <v>2296.4899999999998</v>
      </c>
      <c r="F71" s="958">
        <v>47237.4</v>
      </c>
    </row>
    <row r="72" spans="2:7">
      <c r="B72" s="916" t="s">
        <v>468</v>
      </c>
      <c r="C72" s="454" t="s">
        <v>962</v>
      </c>
      <c r="D72" s="454" t="s">
        <v>1303</v>
      </c>
      <c r="E72" s="454">
        <v>4746.82</v>
      </c>
      <c r="F72" s="958">
        <v>4542.1099999999997</v>
      </c>
    </row>
    <row r="73" spans="2:7">
      <c r="B73" s="916" t="s">
        <v>247</v>
      </c>
      <c r="C73" s="454" t="s">
        <v>962</v>
      </c>
      <c r="D73" s="454" t="s">
        <v>1303</v>
      </c>
      <c r="E73" s="454">
        <v>924.88</v>
      </c>
      <c r="F73" s="958">
        <v>17384.240000000002</v>
      </c>
    </row>
    <row r="74" spans="2:7">
      <c r="B74" s="916" t="s">
        <v>258</v>
      </c>
      <c r="C74" s="454" t="s">
        <v>962</v>
      </c>
      <c r="D74" s="454" t="s">
        <v>1303</v>
      </c>
      <c r="E74" s="454"/>
      <c r="F74" s="958">
        <v>4000</v>
      </c>
    </row>
    <row r="75" spans="2:7">
      <c r="B75" s="916" t="s">
        <v>264</v>
      </c>
      <c r="C75" s="454" t="s">
        <v>962</v>
      </c>
      <c r="D75" s="454" t="s">
        <v>1303</v>
      </c>
      <c r="E75" s="454"/>
      <c r="F75" s="958">
        <v>3485.97</v>
      </c>
    </row>
    <row r="76" spans="2:7" ht="13.5" thickBot="1">
      <c r="B76" s="917" t="s">
        <v>949</v>
      </c>
      <c r="C76" s="918" t="s">
        <v>962</v>
      </c>
      <c r="D76" s="918" t="s">
        <v>1303</v>
      </c>
      <c r="E76" s="918">
        <v>3023.67</v>
      </c>
      <c r="F76" s="959">
        <v>26589.1</v>
      </c>
      <c r="G76" s="363">
        <f>SUM(F63:F76)</f>
        <v>325019.85999999993</v>
      </c>
    </row>
    <row r="77" spans="2:7" ht="13.5" thickBot="1">
      <c r="B77" s="919" t="s">
        <v>2387</v>
      </c>
      <c r="C77" s="920" t="s">
        <v>962</v>
      </c>
      <c r="D77" s="920" t="s">
        <v>2430</v>
      </c>
      <c r="E77" s="920"/>
      <c r="F77" s="960">
        <v>310029.71000000002</v>
      </c>
    </row>
    <row r="78" spans="2:7" ht="13.5" thickBot="1">
      <c r="B78" s="919" t="s">
        <v>404</v>
      </c>
      <c r="C78" s="920" t="s">
        <v>962</v>
      </c>
      <c r="D78" s="920" t="s">
        <v>1919</v>
      </c>
      <c r="E78" s="920">
        <v>38090.57</v>
      </c>
      <c r="F78" s="960"/>
    </row>
    <row r="79" spans="2:7" ht="13.5" thickBot="1">
      <c r="B79" s="919" t="s">
        <v>2366</v>
      </c>
      <c r="C79" s="920" t="s">
        <v>962</v>
      </c>
      <c r="D79" s="920" t="s">
        <v>2432</v>
      </c>
      <c r="E79" s="920"/>
      <c r="F79" s="960">
        <v>2780</v>
      </c>
    </row>
    <row r="80" spans="2:7" ht="13.5" thickBot="1">
      <c r="B80" s="919" t="s">
        <v>122</v>
      </c>
      <c r="C80" s="920" t="s">
        <v>962</v>
      </c>
      <c r="D80" s="920" t="s">
        <v>123</v>
      </c>
      <c r="E80" s="920">
        <v>2161.92</v>
      </c>
      <c r="F80" s="960"/>
    </row>
    <row r="81" spans="2:7" ht="13.5" thickBot="1">
      <c r="B81" s="922" t="s">
        <v>1065</v>
      </c>
      <c r="C81" s="923" t="s">
        <v>962</v>
      </c>
      <c r="D81" s="923" t="s">
        <v>1060</v>
      </c>
      <c r="E81" s="923">
        <f>'TRAIL BALANCE'!E103</f>
        <v>140540.84</v>
      </c>
      <c r="F81" s="961">
        <v>40310.559999999998</v>
      </c>
    </row>
    <row r="82" spans="2:7">
      <c r="B82" s="914" t="s">
        <v>423</v>
      </c>
      <c r="C82" s="915" t="s">
        <v>962</v>
      </c>
      <c r="D82" s="915" t="s">
        <v>424</v>
      </c>
      <c r="E82" s="915">
        <v>1144.5999999999999</v>
      </c>
      <c r="F82" s="1034">
        <v>2648.4</v>
      </c>
    </row>
    <row r="83" spans="2:7">
      <c r="B83" s="916" t="s">
        <v>757</v>
      </c>
      <c r="C83" s="454" t="s">
        <v>962</v>
      </c>
      <c r="D83" s="454" t="s">
        <v>424</v>
      </c>
      <c r="E83" s="454">
        <v>282</v>
      </c>
      <c r="F83" s="958">
        <v>11257.5</v>
      </c>
    </row>
    <row r="84" spans="2:7">
      <c r="B84" s="916" t="s">
        <v>469</v>
      </c>
      <c r="C84" s="454" t="s">
        <v>962</v>
      </c>
      <c r="D84" s="454" t="s">
        <v>424</v>
      </c>
      <c r="E84" s="454">
        <v>23265.7</v>
      </c>
      <c r="F84" s="958">
        <v>13186.2</v>
      </c>
    </row>
    <row r="85" spans="2:7">
      <c r="B85" s="916" t="s">
        <v>248</v>
      </c>
      <c r="C85" s="454" t="s">
        <v>962</v>
      </c>
      <c r="D85" s="454" t="s">
        <v>424</v>
      </c>
      <c r="E85" s="454">
        <v>9193.2000000000007</v>
      </c>
      <c r="F85" s="958">
        <v>3168.5</v>
      </c>
    </row>
    <row r="86" spans="2:7">
      <c r="B86" s="916" t="s">
        <v>950</v>
      </c>
      <c r="C86" s="454" t="s">
        <v>962</v>
      </c>
      <c r="D86" s="454" t="s">
        <v>424</v>
      </c>
      <c r="E86" s="454">
        <v>1555</v>
      </c>
      <c r="F86" s="958">
        <v>6431.5</v>
      </c>
    </row>
    <row r="87" spans="2:7" ht="13.5" thickBot="1">
      <c r="B87" s="917" t="s">
        <v>740</v>
      </c>
      <c r="C87" s="918" t="s">
        <v>962</v>
      </c>
      <c r="D87" s="918" t="s">
        <v>138</v>
      </c>
      <c r="E87" s="918">
        <v>94581.62</v>
      </c>
      <c r="F87" s="959">
        <v>267989.78000000003</v>
      </c>
      <c r="G87" s="363">
        <f>SUM(F82:F87)</f>
        <v>304681.88</v>
      </c>
    </row>
    <row r="88" spans="2:7" ht="13.5" thickBot="1">
      <c r="B88" s="922" t="s">
        <v>54</v>
      </c>
      <c r="C88" s="923" t="s">
        <v>962</v>
      </c>
      <c r="D88" s="923" t="s">
        <v>386</v>
      </c>
      <c r="E88" s="923">
        <v>43762.52</v>
      </c>
      <c r="F88" s="961">
        <v>17081</v>
      </c>
    </row>
    <row r="89" spans="2:7">
      <c r="B89" s="914" t="s">
        <v>425</v>
      </c>
      <c r="C89" s="915" t="s">
        <v>962</v>
      </c>
      <c r="D89" s="915" t="s">
        <v>426</v>
      </c>
      <c r="E89" s="915">
        <v>16706.169999999998</v>
      </c>
      <c r="F89" s="1034">
        <v>13587.66</v>
      </c>
    </row>
    <row r="90" spans="2:7" ht="13.5" thickBot="1">
      <c r="B90" s="917" t="s">
        <v>427</v>
      </c>
      <c r="C90" s="918" t="s">
        <v>962</v>
      </c>
      <c r="D90" s="918" t="s">
        <v>428</v>
      </c>
      <c r="E90" s="918">
        <v>262197.42</v>
      </c>
      <c r="F90" s="959">
        <v>434544.12</v>
      </c>
      <c r="G90" s="363">
        <f>SUM(F89:F90)</f>
        <v>448131.77999999997</v>
      </c>
    </row>
    <row r="91" spans="2:7" ht="13.5" thickBot="1">
      <c r="B91" s="921" t="s">
        <v>49</v>
      </c>
      <c r="C91" s="921" t="s">
        <v>962</v>
      </c>
      <c r="D91" s="921" t="s">
        <v>50</v>
      </c>
      <c r="E91" s="921">
        <v>597133.14</v>
      </c>
      <c r="F91" s="596"/>
    </row>
    <row r="92" spans="2:7" ht="13.5" thickBot="1">
      <c r="B92" s="919" t="s">
        <v>2353</v>
      </c>
      <c r="C92" s="920" t="s">
        <v>962</v>
      </c>
      <c r="D92" s="920" t="s">
        <v>845</v>
      </c>
      <c r="E92" s="920">
        <v>4640.01</v>
      </c>
      <c r="F92" s="960">
        <v>17490.7</v>
      </c>
    </row>
    <row r="93" spans="2:7" ht="13.5" thickBot="1">
      <c r="B93" s="922" t="s">
        <v>2384</v>
      </c>
      <c r="C93" s="920" t="s">
        <v>962</v>
      </c>
      <c r="D93" s="923" t="s">
        <v>2429</v>
      </c>
      <c r="E93" s="923"/>
      <c r="F93" s="961">
        <v>219.3</v>
      </c>
    </row>
    <row r="94" spans="2:7">
      <c r="B94" s="914" t="s">
        <v>429</v>
      </c>
      <c r="C94" s="915" t="s">
        <v>962</v>
      </c>
      <c r="D94" s="915" t="s">
        <v>430</v>
      </c>
      <c r="E94" s="915">
        <v>3658.46</v>
      </c>
      <c r="F94" s="1034">
        <v>10360.219999999999</v>
      </c>
    </row>
    <row r="95" spans="2:7">
      <c r="B95" s="916" t="s">
        <v>83</v>
      </c>
      <c r="C95" s="454" t="s">
        <v>962</v>
      </c>
      <c r="D95" s="454" t="s">
        <v>430</v>
      </c>
      <c r="E95" s="454">
        <v>4624.3999999999996</v>
      </c>
      <c r="F95" s="958">
        <v>185.64</v>
      </c>
    </row>
    <row r="96" spans="2:7">
      <c r="B96" s="916" t="s">
        <v>1067</v>
      </c>
      <c r="C96" s="454" t="s">
        <v>962</v>
      </c>
      <c r="D96" s="454" t="s">
        <v>430</v>
      </c>
      <c r="E96" s="454"/>
      <c r="F96" s="958">
        <v>1095</v>
      </c>
    </row>
    <row r="97" spans="2:7">
      <c r="B97" s="916" t="s">
        <v>109</v>
      </c>
      <c r="C97" s="454" t="s">
        <v>962</v>
      </c>
      <c r="D97" s="454" t="s">
        <v>430</v>
      </c>
      <c r="E97" s="454">
        <v>165.87</v>
      </c>
      <c r="F97" s="958">
        <v>641.88</v>
      </c>
    </row>
    <row r="98" spans="2:7">
      <c r="B98" s="916" t="s">
        <v>117</v>
      </c>
      <c r="C98" s="454" t="s">
        <v>962</v>
      </c>
      <c r="D98" s="454" t="s">
        <v>430</v>
      </c>
      <c r="E98" s="454"/>
      <c r="F98" s="958">
        <v>166.9</v>
      </c>
    </row>
    <row r="99" spans="2:7" ht="14.25" customHeight="1">
      <c r="B99" s="916" t="s">
        <v>188</v>
      </c>
      <c r="C99" s="454" t="s">
        <v>962</v>
      </c>
      <c r="D99" s="454" t="s">
        <v>430</v>
      </c>
      <c r="E99" s="454">
        <v>92644.67</v>
      </c>
      <c r="F99" s="958">
        <f>141517.29-12079.48</f>
        <v>129437.81000000001</v>
      </c>
    </row>
    <row r="100" spans="2:7">
      <c r="B100" s="916" t="s">
        <v>1400</v>
      </c>
      <c r="C100" s="454" t="s">
        <v>962</v>
      </c>
      <c r="D100" s="454" t="s">
        <v>430</v>
      </c>
      <c r="E100" s="454">
        <v>1998.14</v>
      </c>
      <c r="F100" s="958">
        <v>2398.9</v>
      </c>
    </row>
    <row r="101" spans="2:7" ht="13.5" thickBot="1">
      <c r="B101" s="917" t="s">
        <v>951</v>
      </c>
      <c r="C101" s="918" t="s">
        <v>962</v>
      </c>
      <c r="D101" s="918" t="s">
        <v>430</v>
      </c>
      <c r="E101" s="918">
        <v>3401.51</v>
      </c>
      <c r="F101" s="959">
        <v>9486.4699999999993</v>
      </c>
      <c r="G101" s="363">
        <f>SUM(F94:F101)</f>
        <v>153772.82</v>
      </c>
    </row>
    <row r="102" spans="2:7" ht="13.5" thickBot="1">
      <c r="B102" s="921" t="s">
        <v>55</v>
      </c>
      <c r="C102" s="921" t="s">
        <v>962</v>
      </c>
      <c r="D102" s="921" t="s">
        <v>56</v>
      </c>
      <c r="E102" s="921">
        <v>0</v>
      </c>
      <c r="F102" s="596">
        <v>0</v>
      </c>
    </row>
    <row r="103" spans="2:7">
      <c r="B103" s="914" t="s">
        <v>431</v>
      </c>
      <c r="C103" s="915" t="s">
        <v>962</v>
      </c>
      <c r="D103" s="915" t="s">
        <v>432</v>
      </c>
      <c r="E103" s="915">
        <v>168279.6</v>
      </c>
      <c r="F103" s="1034">
        <v>52834.94</v>
      </c>
    </row>
    <row r="104" spans="2:7">
      <c r="B104" s="916" t="s">
        <v>84</v>
      </c>
      <c r="C104" s="454" t="s">
        <v>962</v>
      </c>
      <c r="D104" s="454" t="s">
        <v>432</v>
      </c>
      <c r="E104" s="454">
        <v>16241.02</v>
      </c>
      <c r="F104" s="958">
        <v>22133.13</v>
      </c>
    </row>
    <row r="105" spans="2:7">
      <c r="B105" s="916" t="s">
        <v>1068</v>
      </c>
      <c r="C105" s="454" t="s">
        <v>962</v>
      </c>
      <c r="D105" s="454" t="s">
        <v>432</v>
      </c>
      <c r="E105" s="454">
        <v>6953.04</v>
      </c>
      <c r="F105" s="958">
        <v>25931.040000000001</v>
      </c>
    </row>
    <row r="106" spans="2:7">
      <c r="B106" s="916" t="s">
        <v>110</v>
      </c>
      <c r="C106" s="454" t="s">
        <v>962</v>
      </c>
      <c r="D106" s="454" t="s">
        <v>432</v>
      </c>
      <c r="E106" s="454">
        <v>135442.04</v>
      </c>
      <c r="F106" s="958">
        <v>96529.86</v>
      </c>
    </row>
    <row r="107" spans="2:7">
      <c r="B107" s="916" t="s">
        <v>118</v>
      </c>
      <c r="C107" s="454" t="s">
        <v>962</v>
      </c>
      <c r="D107" s="454" t="s">
        <v>432</v>
      </c>
      <c r="E107" s="454">
        <v>17029.05</v>
      </c>
      <c r="F107" s="958">
        <v>4708.9399999999996</v>
      </c>
    </row>
    <row r="108" spans="2:7">
      <c r="B108" s="916" t="s">
        <v>141</v>
      </c>
      <c r="C108" s="454" t="s">
        <v>962</v>
      </c>
      <c r="D108" s="454" t="s">
        <v>432</v>
      </c>
      <c r="E108" s="454">
        <v>3819.04</v>
      </c>
      <c r="F108" s="958">
        <v>25757.05</v>
      </c>
    </row>
    <row r="109" spans="2:7">
      <c r="B109" s="916" t="s">
        <v>157</v>
      </c>
      <c r="C109" s="454" t="s">
        <v>962</v>
      </c>
      <c r="D109" s="454" t="s">
        <v>432</v>
      </c>
      <c r="E109" s="454">
        <v>1193.51</v>
      </c>
      <c r="F109" s="958"/>
    </row>
    <row r="110" spans="2:7">
      <c r="B110" s="916" t="s">
        <v>189</v>
      </c>
      <c r="C110" s="454" t="s">
        <v>962</v>
      </c>
      <c r="D110" s="454" t="s">
        <v>432</v>
      </c>
      <c r="E110" s="454">
        <f>'TRAIL BALANCE'!E216</f>
        <v>195454.9</v>
      </c>
      <c r="F110" s="958">
        <v>169132.79</v>
      </c>
    </row>
    <row r="111" spans="2:7">
      <c r="B111" s="916" t="s">
        <v>758</v>
      </c>
      <c r="C111" s="454" t="s">
        <v>962</v>
      </c>
      <c r="D111" s="454" t="s">
        <v>432</v>
      </c>
      <c r="E111" s="454"/>
      <c r="F111" s="958">
        <v>41.32</v>
      </c>
    </row>
    <row r="112" spans="2:7">
      <c r="B112" s="916" t="s">
        <v>1401</v>
      </c>
      <c r="C112" s="454" t="s">
        <v>962</v>
      </c>
      <c r="D112" s="454" t="s">
        <v>432</v>
      </c>
      <c r="E112" s="454">
        <v>11245.9</v>
      </c>
      <c r="F112" s="958">
        <v>3721.07</v>
      </c>
    </row>
    <row r="113" spans="2:7">
      <c r="B113" s="916" t="s">
        <v>470</v>
      </c>
      <c r="C113" s="454" t="s">
        <v>962</v>
      </c>
      <c r="D113" s="454" t="s">
        <v>432</v>
      </c>
      <c r="E113" s="454">
        <v>728.62</v>
      </c>
      <c r="F113" s="958">
        <v>160.44999999999999</v>
      </c>
    </row>
    <row r="114" spans="2:7">
      <c r="B114" s="916" t="s">
        <v>898</v>
      </c>
      <c r="C114" s="454" t="s">
        <v>962</v>
      </c>
      <c r="D114" s="454" t="s">
        <v>432</v>
      </c>
      <c r="E114" s="454">
        <v>4215.54</v>
      </c>
      <c r="F114" s="958">
        <v>2056.33</v>
      </c>
    </row>
    <row r="115" spans="2:7">
      <c r="B115" s="916" t="s">
        <v>903</v>
      </c>
      <c r="C115" s="454" t="s">
        <v>962</v>
      </c>
      <c r="D115" s="454" t="s">
        <v>432</v>
      </c>
      <c r="E115" s="454">
        <v>246.97</v>
      </c>
      <c r="F115" s="958"/>
    </row>
    <row r="116" spans="2:7">
      <c r="B116" s="916" t="s">
        <v>249</v>
      </c>
      <c r="C116" s="454" t="s">
        <v>962</v>
      </c>
      <c r="D116" s="454" t="s">
        <v>432</v>
      </c>
      <c r="E116" s="454"/>
      <c r="F116" s="958">
        <v>7702.12</v>
      </c>
    </row>
    <row r="117" spans="2:7" ht="13.5" thickBot="1">
      <c r="B117" s="917" t="s">
        <v>952</v>
      </c>
      <c r="C117" s="918" t="s">
        <v>962</v>
      </c>
      <c r="D117" s="918" t="s">
        <v>432</v>
      </c>
      <c r="E117" s="918">
        <v>64397.73</v>
      </c>
      <c r="F117" s="959">
        <v>117850.86</v>
      </c>
      <c r="G117" s="363">
        <f>SUM(F103:F117)</f>
        <v>528559.9</v>
      </c>
    </row>
    <row r="118" spans="2:7" ht="13.5" thickBot="1">
      <c r="B118" s="921" t="s">
        <v>1502</v>
      </c>
      <c r="C118" s="921" t="s">
        <v>962</v>
      </c>
      <c r="D118" s="921" t="s">
        <v>1915</v>
      </c>
      <c r="E118" s="921">
        <v>376950.47</v>
      </c>
      <c r="F118" s="596">
        <v>117515.5</v>
      </c>
    </row>
    <row r="119" spans="2:7">
      <c r="B119" s="914" t="s">
        <v>190</v>
      </c>
      <c r="C119" s="915" t="s">
        <v>962</v>
      </c>
      <c r="D119" s="915" t="s">
        <v>191</v>
      </c>
      <c r="E119" s="915">
        <v>2460</v>
      </c>
      <c r="F119" s="1034">
        <v>4289.3900000000003</v>
      </c>
    </row>
    <row r="120" spans="2:7">
      <c r="B120" s="916" t="s">
        <v>870</v>
      </c>
      <c r="C120" s="454" t="s">
        <v>962</v>
      </c>
      <c r="D120" s="454" t="s">
        <v>191</v>
      </c>
      <c r="E120" s="454"/>
      <c r="F120" s="958">
        <v>392.54</v>
      </c>
    </row>
    <row r="121" spans="2:7">
      <c r="B121" s="916" t="s">
        <v>759</v>
      </c>
      <c r="C121" s="454" t="s">
        <v>962</v>
      </c>
      <c r="D121" s="454" t="s">
        <v>191</v>
      </c>
      <c r="E121" s="454">
        <v>71263.67</v>
      </c>
      <c r="F121" s="958">
        <v>47925.62</v>
      </c>
    </row>
    <row r="122" spans="2:7">
      <c r="B122" s="916" t="s">
        <v>1402</v>
      </c>
      <c r="C122" s="454" t="s">
        <v>962</v>
      </c>
      <c r="D122" s="454" t="s">
        <v>191</v>
      </c>
      <c r="E122" s="454">
        <v>51775.97</v>
      </c>
      <c r="F122" s="958">
        <v>89630.16</v>
      </c>
    </row>
    <row r="123" spans="2:7">
      <c r="B123" s="916" t="s">
        <v>471</v>
      </c>
      <c r="C123" s="454" t="s">
        <v>962</v>
      </c>
      <c r="D123" s="454" t="s">
        <v>191</v>
      </c>
      <c r="E123" s="454">
        <v>48599.12</v>
      </c>
      <c r="F123" s="958">
        <v>48888</v>
      </c>
    </row>
    <row r="124" spans="2:7">
      <c r="B124" s="916" t="s">
        <v>250</v>
      </c>
      <c r="C124" s="454" t="s">
        <v>962</v>
      </c>
      <c r="D124" s="454" t="s">
        <v>191</v>
      </c>
      <c r="E124" s="454">
        <v>48123.24</v>
      </c>
      <c r="F124" s="958">
        <v>5314.32</v>
      </c>
    </row>
    <row r="125" spans="2:7">
      <c r="B125" s="916" t="s">
        <v>920</v>
      </c>
      <c r="C125" s="454" t="s">
        <v>962</v>
      </c>
      <c r="D125" s="454" t="s">
        <v>191</v>
      </c>
      <c r="E125" s="454">
        <v>550</v>
      </c>
      <c r="F125" s="958"/>
    </row>
    <row r="126" spans="2:7">
      <c r="B126" s="916" t="s">
        <v>953</v>
      </c>
      <c r="C126" s="454" t="s">
        <v>962</v>
      </c>
      <c r="D126" s="454" t="s">
        <v>191</v>
      </c>
      <c r="E126" s="454">
        <v>21646.55</v>
      </c>
      <c r="F126" s="958">
        <v>52967.03</v>
      </c>
    </row>
    <row r="127" spans="2:7" ht="13.5" thickBot="1">
      <c r="B127" s="917" t="s">
        <v>1776</v>
      </c>
      <c r="C127" s="918" t="s">
        <v>962</v>
      </c>
      <c r="D127" s="918" t="s">
        <v>1918</v>
      </c>
      <c r="E127" s="918">
        <v>2126.31</v>
      </c>
      <c r="F127" s="959"/>
      <c r="G127" s="363">
        <f>SUM(F119:F127)</f>
        <v>249407.06000000003</v>
      </c>
    </row>
    <row r="128" spans="2:7" ht="13.5" thickBot="1">
      <c r="B128" s="921" t="s">
        <v>192</v>
      </c>
      <c r="C128" s="921" t="s">
        <v>962</v>
      </c>
      <c r="D128" s="921" t="s">
        <v>193</v>
      </c>
      <c r="E128" s="921">
        <v>0</v>
      </c>
      <c r="F128" s="596"/>
    </row>
    <row r="129" spans="2:7">
      <c r="B129" s="914" t="s">
        <v>741</v>
      </c>
      <c r="C129" s="915" t="s">
        <v>962</v>
      </c>
      <c r="D129" s="915" t="s">
        <v>742</v>
      </c>
      <c r="E129" s="915">
        <v>268532.88</v>
      </c>
      <c r="F129" s="1034">
        <f>141806.36-14060.6-9272.56</f>
        <v>118473.19999999998</v>
      </c>
    </row>
    <row r="130" spans="2:7">
      <c r="B130" s="916" t="s">
        <v>1474</v>
      </c>
      <c r="C130" s="454" t="s">
        <v>962</v>
      </c>
      <c r="D130" s="454" t="s">
        <v>1911</v>
      </c>
      <c r="E130" s="454">
        <v>39000</v>
      </c>
      <c r="F130" s="958">
        <v>36060</v>
      </c>
    </row>
    <row r="131" spans="2:7" ht="13.5" thickBot="1">
      <c r="B131" s="917" t="s">
        <v>194</v>
      </c>
      <c r="C131" s="918" t="s">
        <v>962</v>
      </c>
      <c r="D131" s="918" t="s">
        <v>1304</v>
      </c>
      <c r="E131" s="918">
        <v>14956.5</v>
      </c>
      <c r="F131" s="959"/>
      <c r="G131" s="363">
        <f>SUM(F129:F131)</f>
        <v>154533.19999999998</v>
      </c>
    </row>
    <row r="132" spans="2:7" ht="13.5" thickBot="1">
      <c r="B132" s="919" t="s">
        <v>53</v>
      </c>
      <c r="C132" s="920" t="s">
        <v>962</v>
      </c>
      <c r="D132" s="920" t="s">
        <v>1298</v>
      </c>
      <c r="E132" s="920">
        <v>261424.98</v>
      </c>
      <c r="F132" s="960">
        <v>338907.05</v>
      </c>
    </row>
    <row r="133" spans="2:7" ht="13.5" thickBot="1">
      <c r="B133" s="921" t="s">
        <v>1780</v>
      </c>
      <c r="C133" s="921" t="s">
        <v>962</v>
      </c>
      <c r="D133" s="921" t="s">
        <v>1781</v>
      </c>
      <c r="E133" s="921">
        <v>4996.22</v>
      </c>
      <c r="F133" s="596"/>
    </row>
    <row r="134" spans="2:7">
      <c r="B134" s="914" t="s">
        <v>433</v>
      </c>
      <c r="C134" s="915" t="s">
        <v>962</v>
      </c>
      <c r="D134" s="915" t="s">
        <v>41</v>
      </c>
      <c r="E134" s="915">
        <v>1315254.26</v>
      </c>
      <c r="F134" s="1034">
        <v>913782.36</v>
      </c>
    </row>
    <row r="135" spans="2:7">
      <c r="B135" s="916" t="s">
        <v>85</v>
      </c>
      <c r="C135" s="454" t="s">
        <v>962</v>
      </c>
      <c r="D135" s="454" t="s">
        <v>41</v>
      </c>
      <c r="E135" s="454">
        <v>579097.99</v>
      </c>
      <c r="F135" s="958">
        <v>866174.98</v>
      </c>
    </row>
    <row r="136" spans="2:7">
      <c r="B136" s="916" t="s">
        <v>1069</v>
      </c>
      <c r="C136" s="454" t="s">
        <v>962</v>
      </c>
      <c r="D136" s="454" t="s">
        <v>41</v>
      </c>
      <c r="E136" s="454">
        <v>39573.919999999998</v>
      </c>
      <c r="F136" s="958">
        <v>72251.8</v>
      </c>
    </row>
    <row r="137" spans="2:7">
      <c r="B137" s="916" t="s">
        <v>111</v>
      </c>
      <c r="C137" s="454" t="s">
        <v>962</v>
      </c>
      <c r="D137" s="454" t="s">
        <v>41</v>
      </c>
      <c r="E137" s="454">
        <v>69147.899999999994</v>
      </c>
      <c r="F137" s="958">
        <v>52510.11</v>
      </c>
    </row>
    <row r="138" spans="2:7">
      <c r="B138" s="916" t="s">
        <v>119</v>
      </c>
      <c r="C138" s="454" t="s">
        <v>962</v>
      </c>
      <c r="D138" s="454" t="s">
        <v>41</v>
      </c>
      <c r="E138" s="454">
        <v>65829.59</v>
      </c>
      <c r="F138" s="958">
        <v>104353.84</v>
      </c>
    </row>
    <row r="139" spans="2:7">
      <c r="B139" s="916" t="s">
        <v>142</v>
      </c>
      <c r="C139" s="454" t="s">
        <v>962</v>
      </c>
      <c r="D139" s="454" t="s">
        <v>41</v>
      </c>
      <c r="E139" s="454">
        <v>428.57</v>
      </c>
      <c r="F139" s="958">
        <v>140</v>
      </c>
    </row>
    <row r="140" spans="2:7">
      <c r="B140" s="916" t="s">
        <v>159</v>
      </c>
      <c r="C140" s="454" t="s">
        <v>962</v>
      </c>
      <c r="D140" s="454" t="s">
        <v>41</v>
      </c>
      <c r="E140" s="454">
        <v>1236.1199999999999</v>
      </c>
      <c r="F140" s="958">
        <v>1300</v>
      </c>
    </row>
    <row r="141" spans="2:7">
      <c r="B141" s="916" t="s">
        <v>195</v>
      </c>
      <c r="C141" s="454" t="s">
        <v>962</v>
      </c>
      <c r="D141" s="454" t="s">
        <v>41</v>
      </c>
      <c r="E141" s="454">
        <v>302144.07</v>
      </c>
      <c r="F141" s="958">
        <v>283775.28999999998</v>
      </c>
    </row>
    <row r="142" spans="2:7">
      <c r="B142" s="916" t="s">
        <v>2394</v>
      </c>
      <c r="C142" s="454" t="s">
        <v>962</v>
      </c>
      <c r="D142" s="454" t="s">
        <v>41</v>
      </c>
      <c r="E142" s="454"/>
      <c r="F142" s="958">
        <v>260</v>
      </c>
    </row>
    <row r="143" spans="2:7">
      <c r="B143" s="916" t="s">
        <v>745</v>
      </c>
      <c r="C143" s="454" t="s">
        <v>962</v>
      </c>
      <c r="D143" s="454" t="s">
        <v>41</v>
      </c>
      <c r="E143" s="454">
        <v>1195.33</v>
      </c>
      <c r="F143" s="958">
        <v>11874.75</v>
      </c>
    </row>
    <row r="144" spans="2:7">
      <c r="B144" s="916" t="s">
        <v>871</v>
      </c>
      <c r="C144" s="454" t="s">
        <v>962</v>
      </c>
      <c r="D144" s="454" t="s">
        <v>41</v>
      </c>
      <c r="E144" s="454">
        <v>966.28</v>
      </c>
      <c r="F144" s="958"/>
    </row>
    <row r="145" spans="2:7">
      <c r="B145" s="916" t="s">
        <v>1492</v>
      </c>
      <c r="C145" s="454" t="s">
        <v>962</v>
      </c>
      <c r="D145" s="454" t="s">
        <v>41</v>
      </c>
      <c r="E145" s="454">
        <v>985.7</v>
      </c>
      <c r="F145" s="958"/>
    </row>
    <row r="146" spans="2:7">
      <c r="B146" s="916" t="s">
        <v>1403</v>
      </c>
      <c r="C146" s="454" t="s">
        <v>962</v>
      </c>
      <c r="D146" s="454" t="s">
        <v>41</v>
      </c>
      <c r="E146" s="454">
        <v>25074</v>
      </c>
      <c r="F146" s="958">
        <v>25095.97</v>
      </c>
    </row>
    <row r="147" spans="2:7">
      <c r="B147" s="916" t="s">
        <v>472</v>
      </c>
      <c r="C147" s="454" t="s">
        <v>962</v>
      </c>
      <c r="D147" s="454" t="s">
        <v>41</v>
      </c>
      <c r="E147" s="454">
        <v>2408</v>
      </c>
      <c r="F147" s="958"/>
    </row>
    <row r="148" spans="2:7">
      <c r="B148" s="916" t="s">
        <v>251</v>
      </c>
      <c r="C148" s="454" t="s">
        <v>962</v>
      </c>
      <c r="D148" s="454" t="s">
        <v>41</v>
      </c>
      <c r="E148" s="454">
        <v>228.57</v>
      </c>
      <c r="F148" s="958">
        <v>260</v>
      </c>
    </row>
    <row r="149" spans="2:7">
      <c r="B149" s="916" t="s">
        <v>275</v>
      </c>
      <c r="C149" s="454" t="s">
        <v>962</v>
      </c>
      <c r="D149" s="454" t="s">
        <v>41</v>
      </c>
      <c r="E149" s="454">
        <v>166189.49</v>
      </c>
      <c r="F149" s="958">
        <v>146330.16</v>
      </c>
    </row>
    <row r="150" spans="2:7">
      <c r="B150" s="916" t="s">
        <v>899</v>
      </c>
      <c r="C150" s="454" t="s">
        <v>962</v>
      </c>
      <c r="D150" s="454" t="s">
        <v>41</v>
      </c>
      <c r="E150" s="454">
        <v>30438.09</v>
      </c>
      <c r="F150" s="958">
        <v>68509.97</v>
      </c>
    </row>
    <row r="151" spans="2:7">
      <c r="B151" s="916" t="s">
        <v>905</v>
      </c>
      <c r="C151" s="454" t="s">
        <v>962</v>
      </c>
      <c r="D151" s="454" t="s">
        <v>41</v>
      </c>
      <c r="E151" s="454">
        <v>457.14</v>
      </c>
      <c r="F151" s="958"/>
    </row>
    <row r="152" spans="2:7">
      <c r="B152" s="916" t="s">
        <v>913</v>
      </c>
      <c r="C152" s="454" t="s">
        <v>962</v>
      </c>
      <c r="D152" s="454" t="s">
        <v>41</v>
      </c>
      <c r="E152" s="454">
        <v>3030.67</v>
      </c>
      <c r="F152" s="958">
        <v>7522.64</v>
      </c>
    </row>
    <row r="153" spans="2:7">
      <c r="B153" s="916" t="s">
        <v>921</v>
      </c>
      <c r="C153" s="454" t="s">
        <v>962</v>
      </c>
      <c r="D153" s="454" t="s">
        <v>41</v>
      </c>
      <c r="E153" s="454">
        <v>3671.58</v>
      </c>
      <c r="F153" s="958"/>
    </row>
    <row r="154" spans="2:7" ht="13.5" thickBot="1">
      <c r="B154" s="916" t="s">
        <v>954</v>
      </c>
      <c r="C154" s="454" t="s">
        <v>962</v>
      </c>
      <c r="D154" s="454" t="s">
        <v>41</v>
      </c>
      <c r="E154" s="454">
        <v>123330.38</v>
      </c>
      <c r="F154" s="958">
        <v>152071.45000000001</v>
      </c>
      <c r="G154" s="363">
        <f>SUM(F134:F154)</f>
        <v>2706213.3200000008</v>
      </c>
    </row>
    <row r="155" spans="2:7">
      <c r="B155" s="914" t="s">
        <v>42</v>
      </c>
      <c r="C155" s="915" t="s">
        <v>962</v>
      </c>
      <c r="D155" s="915" t="s">
        <v>43</v>
      </c>
      <c r="E155" s="915">
        <v>567182.42000000004</v>
      </c>
      <c r="F155" s="1034">
        <v>547641.36</v>
      </c>
    </row>
    <row r="156" spans="2:7">
      <c r="B156" s="916" t="s">
        <v>44</v>
      </c>
      <c r="C156" s="454" t="s">
        <v>962</v>
      </c>
      <c r="D156" s="454" t="s">
        <v>43</v>
      </c>
      <c r="E156" s="454">
        <v>615256.63</v>
      </c>
      <c r="F156" s="958">
        <v>1386342.58</v>
      </c>
    </row>
    <row r="157" spans="2:7">
      <c r="B157" s="916" t="s">
        <v>86</v>
      </c>
      <c r="C157" s="454" t="s">
        <v>962</v>
      </c>
      <c r="D157" s="454" t="s">
        <v>43</v>
      </c>
      <c r="E157" s="454">
        <v>3587.85</v>
      </c>
      <c r="F157" s="958">
        <v>11070.1</v>
      </c>
    </row>
    <row r="158" spans="2:7">
      <c r="B158" s="916" t="s">
        <v>87</v>
      </c>
      <c r="C158" s="454" t="s">
        <v>962</v>
      </c>
      <c r="D158" s="454" t="s">
        <v>43</v>
      </c>
      <c r="E158" s="454">
        <v>111929.72</v>
      </c>
      <c r="F158" s="958">
        <v>28611.57</v>
      </c>
    </row>
    <row r="159" spans="2:7">
      <c r="B159" s="916" t="s">
        <v>1070</v>
      </c>
      <c r="C159" s="454" t="s">
        <v>962</v>
      </c>
      <c r="D159" s="454" t="s">
        <v>43</v>
      </c>
      <c r="E159" s="454"/>
      <c r="F159" s="958">
        <v>273.75</v>
      </c>
    </row>
    <row r="160" spans="2:7">
      <c r="B160" s="916" t="s">
        <v>112</v>
      </c>
      <c r="C160" s="454" t="s">
        <v>962</v>
      </c>
      <c r="D160" s="454" t="s">
        <v>43</v>
      </c>
      <c r="E160" s="454">
        <v>9220.0499999999993</v>
      </c>
      <c r="F160" s="958">
        <v>8655.11</v>
      </c>
    </row>
    <row r="161" spans="2:7">
      <c r="B161" s="916" t="s">
        <v>113</v>
      </c>
      <c r="C161" s="454" t="s">
        <v>962</v>
      </c>
      <c r="D161" s="454" t="s">
        <v>43</v>
      </c>
      <c r="E161" s="454">
        <v>894.35</v>
      </c>
      <c r="F161" s="958">
        <v>6052.96</v>
      </c>
    </row>
    <row r="162" spans="2:7">
      <c r="B162" s="916" t="s">
        <v>120</v>
      </c>
      <c r="C162" s="454" t="s">
        <v>962</v>
      </c>
      <c r="D162" s="454" t="s">
        <v>43</v>
      </c>
      <c r="E162" s="454"/>
      <c r="F162" s="958">
        <v>375</v>
      </c>
    </row>
    <row r="163" spans="2:7">
      <c r="B163" s="916" t="s">
        <v>143</v>
      </c>
      <c r="C163" s="454" t="s">
        <v>962</v>
      </c>
      <c r="D163" s="454" t="s">
        <v>43</v>
      </c>
      <c r="E163" s="454"/>
      <c r="F163" s="958">
        <v>12956.37</v>
      </c>
    </row>
    <row r="164" spans="2:7">
      <c r="B164" s="916" t="s">
        <v>160</v>
      </c>
      <c r="C164" s="454" t="s">
        <v>962</v>
      </c>
      <c r="D164" s="454" t="s">
        <v>43</v>
      </c>
      <c r="E164" s="454">
        <v>11141.1</v>
      </c>
      <c r="F164" s="958"/>
    </row>
    <row r="165" spans="2:7">
      <c r="B165" s="916" t="s">
        <v>196</v>
      </c>
      <c r="C165" s="454" t="s">
        <v>962</v>
      </c>
      <c r="D165" s="454" t="s">
        <v>43</v>
      </c>
      <c r="E165" s="454">
        <v>2213.64</v>
      </c>
      <c r="F165" s="958">
        <v>1996.86</v>
      </c>
    </row>
    <row r="166" spans="2:7">
      <c r="B166" s="916" t="s">
        <v>197</v>
      </c>
      <c r="C166" s="454" t="s">
        <v>962</v>
      </c>
      <c r="D166" s="454" t="s">
        <v>43</v>
      </c>
      <c r="E166" s="454">
        <v>19603.02</v>
      </c>
      <c r="F166" s="958">
        <v>37980.01</v>
      </c>
    </row>
    <row r="167" spans="2:7">
      <c r="B167" s="916" t="s">
        <v>1891</v>
      </c>
      <c r="C167" s="454" t="s">
        <v>962</v>
      </c>
      <c r="D167" s="454" t="s">
        <v>43</v>
      </c>
      <c r="E167" s="454"/>
      <c r="F167" s="958">
        <v>1215.8499999999999</v>
      </c>
    </row>
    <row r="168" spans="2:7">
      <c r="B168" s="916" t="s">
        <v>760</v>
      </c>
      <c r="C168" s="454" t="s">
        <v>962</v>
      </c>
      <c r="D168" s="454" t="s">
        <v>43</v>
      </c>
      <c r="E168" s="454"/>
      <c r="F168" s="958">
        <v>6479.97</v>
      </c>
    </row>
    <row r="169" spans="2:7">
      <c r="B169" s="916" t="s">
        <v>1404</v>
      </c>
      <c r="C169" s="454" t="s">
        <v>962</v>
      </c>
      <c r="D169" s="454" t="s">
        <v>43</v>
      </c>
      <c r="E169" s="454">
        <v>168</v>
      </c>
      <c r="F169" s="958">
        <v>273.75</v>
      </c>
    </row>
    <row r="170" spans="2:7">
      <c r="B170" s="916" t="s">
        <v>1405</v>
      </c>
      <c r="C170" s="454" t="s">
        <v>962</v>
      </c>
      <c r="D170" s="454" t="s">
        <v>43</v>
      </c>
      <c r="E170" s="454">
        <v>15041.6</v>
      </c>
      <c r="F170" s="958">
        <v>3637.93</v>
      </c>
    </row>
    <row r="171" spans="2:7">
      <c r="B171" s="916" t="s">
        <v>474</v>
      </c>
      <c r="C171" s="454" t="s">
        <v>962</v>
      </c>
      <c r="D171" s="454" t="s">
        <v>43</v>
      </c>
      <c r="E171" s="454">
        <v>164.18</v>
      </c>
      <c r="F171" s="958">
        <v>2438.75</v>
      </c>
    </row>
    <row r="172" spans="2:7">
      <c r="B172" s="916" t="s">
        <v>253</v>
      </c>
      <c r="C172" s="454" t="s">
        <v>962</v>
      </c>
      <c r="D172" s="454" t="s">
        <v>43</v>
      </c>
      <c r="E172" s="454">
        <v>58780.58</v>
      </c>
      <c r="F172" s="958">
        <v>18184.57</v>
      </c>
    </row>
    <row r="173" spans="2:7">
      <c r="B173" s="916" t="s">
        <v>955</v>
      </c>
      <c r="C173" s="454" t="s">
        <v>962</v>
      </c>
      <c r="D173" s="454" t="s">
        <v>43</v>
      </c>
      <c r="E173" s="454">
        <v>20445.560000000001</v>
      </c>
      <c r="F173" s="958">
        <v>25935.63</v>
      </c>
    </row>
    <row r="174" spans="2:7" ht="13.5" thickBot="1">
      <c r="B174" s="917" t="s">
        <v>956</v>
      </c>
      <c r="C174" s="918" t="s">
        <v>962</v>
      </c>
      <c r="D174" s="918" t="s">
        <v>43</v>
      </c>
      <c r="E174" s="918">
        <v>76030.210000000006</v>
      </c>
      <c r="F174" s="959">
        <v>18880.75</v>
      </c>
      <c r="G174" s="363">
        <f>SUM(F155:F174)</f>
        <v>2119002.8700000006</v>
      </c>
    </row>
    <row r="175" spans="2:7" ht="13.5" thickBot="1">
      <c r="B175" s="921" t="s">
        <v>2389</v>
      </c>
      <c r="C175" s="921" t="s">
        <v>962</v>
      </c>
      <c r="D175" s="921" t="s">
        <v>1917</v>
      </c>
      <c r="E175" s="921">
        <v>47274.28</v>
      </c>
      <c r="F175" s="596">
        <v>7844979.8099999996</v>
      </c>
    </row>
    <row r="176" spans="2:7">
      <c r="B176" s="914" t="s">
        <v>121</v>
      </c>
      <c r="C176" s="915" t="s">
        <v>962</v>
      </c>
      <c r="D176" s="915" t="s">
        <v>114</v>
      </c>
      <c r="E176" s="915">
        <v>272074.90999999997</v>
      </c>
      <c r="F176" s="1034">
        <v>477086.96</v>
      </c>
    </row>
    <row r="177" spans="2:6" ht="13.5" thickBot="1">
      <c r="B177" s="917" t="s">
        <v>198</v>
      </c>
      <c r="C177" s="918" t="s">
        <v>962</v>
      </c>
      <c r="D177" s="918" t="s">
        <v>114</v>
      </c>
      <c r="E177" s="918"/>
      <c r="F177" s="959">
        <v>4763.3</v>
      </c>
    </row>
    <row r="178" spans="2:6" ht="13.5" thickBot="1">
      <c r="B178" s="919" t="s">
        <v>1501</v>
      </c>
      <c r="C178" s="920" t="s">
        <v>962</v>
      </c>
      <c r="D178" s="920" t="s">
        <v>1916</v>
      </c>
      <c r="E178" s="920">
        <v>321096</v>
      </c>
      <c r="F178" s="960">
        <v>360765.9</v>
      </c>
    </row>
    <row r="179" spans="2:6" ht="13.5" thickBot="1">
      <c r="B179" s="919" t="s">
        <v>2411</v>
      </c>
      <c r="C179" s="920" t="s">
        <v>962</v>
      </c>
      <c r="D179" s="920" t="s">
        <v>2431</v>
      </c>
      <c r="E179" s="920"/>
      <c r="F179" s="960">
        <v>52998.1</v>
      </c>
    </row>
    <row r="180" spans="2:6" ht="13.5" thickBot="1">
      <c r="B180" s="919" t="s">
        <v>47</v>
      </c>
      <c r="C180" s="920" t="s">
        <v>962</v>
      </c>
      <c r="D180" s="920" t="s">
        <v>48</v>
      </c>
      <c r="E180" s="920">
        <v>97880.15</v>
      </c>
      <c r="F180" s="960"/>
    </row>
    <row r="181" spans="2:6" ht="13.5" thickBot="1">
      <c r="B181" s="919" t="s">
        <v>2891</v>
      </c>
      <c r="C181" s="920"/>
      <c r="D181" s="920" t="s">
        <v>2892</v>
      </c>
      <c r="E181" s="920"/>
      <c r="F181" s="960">
        <v>503815.92</v>
      </c>
    </row>
    <row r="182" spans="2:6" ht="13.5" thickBot="1">
      <c r="B182" s="919"/>
      <c r="C182" s="920"/>
      <c r="D182" s="920" t="s">
        <v>2900</v>
      </c>
      <c r="E182" s="920"/>
      <c r="F182" s="960">
        <v>537627.67000000004</v>
      </c>
    </row>
    <row r="183" spans="2:6" ht="13.5" thickBot="1">
      <c r="B183" s="919" t="s">
        <v>2037</v>
      </c>
      <c r="C183" s="920" t="s">
        <v>962</v>
      </c>
      <c r="D183" s="920" t="s">
        <v>2027</v>
      </c>
      <c r="E183" s="920">
        <v>5234591.3099999996</v>
      </c>
      <c r="F183" s="960"/>
    </row>
    <row r="184" spans="2:6" ht="13.5" thickBot="1">
      <c r="B184" s="919" t="s">
        <v>1477</v>
      </c>
      <c r="C184" s="920" t="s">
        <v>962</v>
      </c>
      <c r="D184" s="920" t="s">
        <v>1299</v>
      </c>
      <c r="E184" s="920">
        <v>3031060.58</v>
      </c>
      <c r="F184" s="960">
        <f>1871589.45-3892.91-8596.49+9272.56</f>
        <v>1868372.61</v>
      </c>
    </row>
    <row r="185" spans="2:6" s="125" customFormat="1" ht="13.5" thickBot="1">
      <c r="B185" s="865"/>
      <c r="C185" s="866"/>
      <c r="D185" s="866"/>
      <c r="E185" s="859">
        <f>SUM(E4:E184)</f>
        <v>26268106.910000004</v>
      </c>
      <c r="F185" s="963">
        <f>SUM(F4:F184)</f>
        <v>26955894.380000003</v>
      </c>
    </row>
  </sheetData>
  <sortState ref="B331:G481">
    <sortCondition ref="D331:D481"/>
  </sortState>
  <pageMargins left="0.7" right="0.7" top="0.75" bottom="0.75" header="0.3" footer="0.3"/>
  <pageSetup scale="90" orientation="portrait" horizontalDpi="300" verticalDpi="300" r:id="rId1"/>
</worksheet>
</file>

<file path=xl/worksheets/sheet39.xml><?xml version="1.0" encoding="utf-8"?>
<worksheet xmlns="http://schemas.openxmlformats.org/spreadsheetml/2006/main" xmlns:r="http://schemas.openxmlformats.org/officeDocument/2006/relationships">
  <dimension ref="A2:E88"/>
  <sheetViews>
    <sheetView topLeftCell="A25" workbookViewId="0">
      <selection activeCell="A25" sqref="A1:XFD1048576"/>
    </sheetView>
  </sheetViews>
  <sheetFormatPr defaultColWidth="19" defaultRowHeight="12.75"/>
  <cols>
    <col min="1" max="3" width="19" style="454" customWidth="1"/>
    <col min="4" max="16384" width="19" style="454"/>
  </cols>
  <sheetData>
    <row r="2" spans="1:5">
      <c r="A2" s="457" t="s">
        <v>2110</v>
      </c>
    </row>
    <row r="4" spans="1:5" ht="13.5" thickBot="1"/>
    <row r="5" spans="1:5" ht="14.25" thickTop="1" thickBot="1">
      <c r="A5" s="868" t="s">
        <v>28</v>
      </c>
      <c r="B5" s="868" t="s">
        <v>964</v>
      </c>
      <c r="C5" s="868" t="s">
        <v>1826</v>
      </c>
      <c r="D5" s="869" t="s">
        <v>1797</v>
      </c>
      <c r="E5" s="869" t="s">
        <v>2094</v>
      </c>
    </row>
    <row r="6" spans="1:5" ht="13.5" thickTop="1">
      <c r="D6" s="212"/>
      <c r="E6" s="212"/>
    </row>
    <row r="7" spans="1:5">
      <c r="A7" s="454" t="s">
        <v>16</v>
      </c>
      <c r="D7" s="212"/>
      <c r="E7" s="212"/>
    </row>
    <row r="8" spans="1:5">
      <c r="A8" s="454" t="s">
        <v>367</v>
      </c>
      <c r="B8" s="454" t="s">
        <v>16</v>
      </c>
      <c r="C8" s="454" t="s">
        <v>368</v>
      </c>
      <c r="D8" s="454">
        <f>'TRAIL BALANCE'!E2</f>
        <v>-4533786.2</v>
      </c>
      <c r="E8" s="454">
        <f>'TRAIL BALANCE'!F2</f>
        <v>-4360612.95</v>
      </c>
    </row>
    <row r="9" spans="1:5">
      <c r="A9" s="454" t="s">
        <v>369</v>
      </c>
      <c r="B9" s="454" t="s">
        <v>16</v>
      </c>
      <c r="C9" s="454" t="s">
        <v>370</v>
      </c>
      <c r="D9" s="454">
        <f>'TRAIL BALANCE'!E3</f>
        <v>-388601.39</v>
      </c>
      <c r="E9" s="454">
        <f>'TRAIL BALANCE'!F3</f>
        <v>-392052.78</v>
      </c>
    </row>
    <row r="10" spans="1:5">
      <c r="A10" s="454" t="s">
        <v>371</v>
      </c>
      <c r="B10" s="454" t="s">
        <v>16</v>
      </c>
      <c r="C10" s="454" t="s">
        <v>372</v>
      </c>
      <c r="D10" s="454">
        <f>'TRAIL BALANCE'!E4</f>
        <v>-1783100.34</v>
      </c>
      <c r="E10" s="454">
        <f>'TRAIL BALANCE'!F4</f>
        <v>-4756036.5599999996</v>
      </c>
    </row>
    <row r="11" spans="1:5">
      <c r="A11" s="454" t="s">
        <v>373</v>
      </c>
      <c r="B11" s="454" t="s">
        <v>16</v>
      </c>
      <c r="C11" s="454" t="s">
        <v>374</v>
      </c>
      <c r="D11" s="454">
        <f>'TRAIL BALANCE'!E5</f>
        <v>-2752108.07</v>
      </c>
      <c r="E11" s="454">
        <f>'TRAIL BALANCE'!F5</f>
        <v>-944006.14</v>
      </c>
    </row>
    <row r="12" spans="1:5">
      <c r="A12" s="454" t="s">
        <v>1762</v>
      </c>
      <c r="B12" s="454" t="s">
        <v>16</v>
      </c>
      <c r="C12" s="454" t="s">
        <v>1763</v>
      </c>
      <c r="D12" s="454">
        <v>0</v>
      </c>
      <c r="E12" s="454">
        <v>0</v>
      </c>
    </row>
    <row r="13" spans="1:5" ht="13.5" thickBot="1">
      <c r="A13" s="454" t="s">
        <v>1764</v>
      </c>
      <c r="B13" s="454" t="s">
        <v>16</v>
      </c>
      <c r="C13" s="454" t="s">
        <v>1765</v>
      </c>
      <c r="D13" s="454">
        <v>0</v>
      </c>
      <c r="E13" s="454">
        <v>0</v>
      </c>
    </row>
    <row r="14" spans="1:5" ht="13.5" thickBot="1">
      <c r="A14" s="858" t="s">
        <v>1828</v>
      </c>
      <c r="B14" s="848"/>
      <c r="C14" s="848"/>
      <c r="D14" s="859">
        <f>SUM(D8:D13)</f>
        <v>-9457596</v>
      </c>
      <c r="E14" s="859">
        <f>SUM(E8:E13)</f>
        <v>-10452708.43</v>
      </c>
    </row>
    <row r="15" spans="1:5">
      <c r="E15" s="212"/>
    </row>
    <row r="16" spans="1:5">
      <c r="A16" s="454" t="s">
        <v>375</v>
      </c>
      <c r="C16" s="454" t="s">
        <v>1827</v>
      </c>
      <c r="D16" s="454">
        <v>0</v>
      </c>
      <c r="E16" s="212">
        <v>0</v>
      </c>
    </row>
    <row r="17" spans="1:5">
      <c r="E17" s="212"/>
    </row>
    <row r="18" spans="1:5">
      <c r="A18" s="454" t="s">
        <v>1766</v>
      </c>
      <c r="B18" s="454" t="s">
        <v>308</v>
      </c>
      <c r="C18" s="454" t="s">
        <v>376</v>
      </c>
      <c r="D18" s="454">
        <f>'TRAIL BALANCE'!E6</f>
        <v>-13191.93</v>
      </c>
      <c r="E18" s="454">
        <f>'TRAIL BALANCE'!F9</f>
        <v>-295064.28000000003</v>
      </c>
    </row>
    <row r="19" spans="1:5">
      <c r="A19" s="454" t="s">
        <v>1767</v>
      </c>
      <c r="B19" s="454" t="s">
        <v>308</v>
      </c>
      <c r="C19" s="454" t="s">
        <v>1768</v>
      </c>
      <c r="D19" s="454">
        <f>'TRAIL BALANCE'!E7</f>
        <v>-18127.2</v>
      </c>
      <c r="E19" s="454">
        <f>'TRAIL BALANCE'!F10</f>
        <v>-22771.759999999998</v>
      </c>
    </row>
    <row r="20" spans="1:5">
      <c r="A20" s="454" t="s">
        <v>1769</v>
      </c>
      <c r="B20" s="454" t="s">
        <v>308</v>
      </c>
      <c r="C20" s="454" t="s">
        <v>1770</v>
      </c>
      <c r="D20" s="454">
        <f>'TRAIL BALANCE'!E8</f>
        <v>-2399.2199999999998</v>
      </c>
      <c r="E20" s="454">
        <f>'TRAIL BALANCE'!F11</f>
        <v>-3504.76</v>
      </c>
    </row>
    <row r="21" spans="1:5">
      <c r="A21" s="454" t="s">
        <v>1490</v>
      </c>
      <c r="B21" s="454" t="s">
        <v>308</v>
      </c>
      <c r="C21" s="454" t="s">
        <v>1837</v>
      </c>
      <c r="D21" s="454">
        <f>'TRAIL BALANCE'!E300</f>
        <v>-104622.56</v>
      </c>
      <c r="E21" s="454">
        <f>'TRAIL BALANCE'!F300</f>
        <v>-84917.42</v>
      </c>
    </row>
    <row r="22" spans="1:5">
      <c r="A22" s="454" t="s">
        <v>1794</v>
      </c>
      <c r="B22" s="454" t="s">
        <v>308</v>
      </c>
      <c r="C22" s="454" t="s">
        <v>1834</v>
      </c>
      <c r="D22" s="454">
        <f>'TRAIL BALANCE'!E519</f>
        <v>-14819.44</v>
      </c>
      <c r="E22" s="454">
        <f>'TRAIL BALANCE'!F519</f>
        <v>0</v>
      </c>
    </row>
    <row r="23" spans="1:5">
      <c r="A23" s="454" t="s">
        <v>124</v>
      </c>
      <c r="B23" s="454" t="s">
        <v>308</v>
      </c>
      <c r="C23" s="454" t="s">
        <v>1836</v>
      </c>
      <c r="D23" s="454">
        <f>'TRAIL BALANCE'!E148</f>
        <v>-7621.47</v>
      </c>
      <c r="E23" s="454">
        <f>'TRAIL BALANCE'!F148</f>
        <v>-9321.86</v>
      </c>
    </row>
    <row r="24" spans="1:5">
      <c r="A24" s="454" t="s">
        <v>1482</v>
      </c>
      <c r="B24" s="454" t="s">
        <v>20</v>
      </c>
      <c r="C24" s="454" t="s">
        <v>1838</v>
      </c>
      <c r="D24" s="454">
        <f>'TRAIL BALANCE'!E186</f>
        <v>-21038.45</v>
      </c>
      <c r="E24" s="454">
        <f>'TRAIL BALANCE'!F186</f>
        <v>-33795.480000000003</v>
      </c>
    </row>
    <row r="25" spans="1:5" ht="13.5" thickBot="1">
      <c r="A25" s="454" t="s">
        <v>1494</v>
      </c>
      <c r="B25" s="454" t="s">
        <v>20</v>
      </c>
      <c r="C25" s="454" t="s">
        <v>1493</v>
      </c>
      <c r="D25" s="454">
        <f>'TRAIL BALANCE'!E375</f>
        <v>-71070.2</v>
      </c>
      <c r="E25" s="454">
        <f>'TRAIL BALANCE'!F375</f>
        <v>-178836.4</v>
      </c>
    </row>
    <row r="26" spans="1:5" ht="13.5" thickBot="1">
      <c r="A26" s="858"/>
      <c r="B26" s="848"/>
      <c r="C26" s="848"/>
      <c r="D26" s="859">
        <f>SUM(D18:D25)</f>
        <v>-252890.47000000003</v>
      </c>
      <c r="E26" s="859">
        <f>SUM(E18:E25)</f>
        <v>-628211.96</v>
      </c>
    </row>
    <row r="27" spans="1:5">
      <c r="E27" s="212"/>
    </row>
    <row r="28" spans="1:5">
      <c r="E28" s="212"/>
    </row>
    <row r="29" spans="1:5" ht="13.5" thickBot="1">
      <c r="A29" s="454" t="s">
        <v>379</v>
      </c>
      <c r="B29" s="454" t="s">
        <v>17</v>
      </c>
      <c r="C29" s="454" t="s">
        <v>380</v>
      </c>
      <c r="D29" s="454">
        <v>0</v>
      </c>
      <c r="E29" s="212">
        <v>0</v>
      </c>
    </row>
    <row r="30" spans="1:5" ht="13.5" thickBot="1">
      <c r="A30" s="858"/>
      <c r="B30" s="848"/>
      <c r="C30" s="848"/>
      <c r="D30" s="848">
        <f>SUM(D29)</f>
        <v>0</v>
      </c>
      <c r="E30" s="848">
        <f>SUM(E29)</f>
        <v>0</v>
      </c>
    </row>
    <row r="31" spans="1:5">
      <c r="E31" s="212"/>
    </row>
    <row r="32" spans="1:5">
      <c r="A32" s="454" t="s">
        <v>1771</v>
      </c>
      <c r="B32" s="454" t="s">
        <v>1772</v>
      </c>
      <c r="C32" s="454" t="s">
        <v>381</v>
      </c>
      <c r="D32" s="454">
        <f>'TRAIL BALANCE'!E12</f>
        <v>-350000</v>
      </c>
      <c r="E32" s="454">
        <f>'TRAIL BALANCE'!F12</f>
        <v>0</v>
      </c>
    </row>
    <row r="33" spans="1:5">
      <c r="A33" s="454" t="s">
        <v>1483</v>
      </c>
      <c r="B33" s="454" t="s">
        <v>22</v>
      </c>
      <c r="C33" s="454" t="s">
        <v>22</v>
      </c>
      <c r="D33" s="454">
        <f>'TRAIL BALANCE'!E187</f>
        <v>-2750000</v>
      </c>
      <c r="E33" s="454">
        <f>'TRAIL BALANCE'!F187</f>
        <v>-3000000</v>
      </c>
    </row>
    <row r="34" spans="1:5">
      <c r="A34" s="454" t="s">
        <v>1782</v>
      </c>
      <c r="B34" s="454" t="s">
        <v>21</v>
      </c>
      <c r="C34" s="454" t="s">
        <v>165</v>
      </c>
      <c r="D34" s="454">
        <f>'TRAIL BALANCE'!E188</f>
        <v>-19589329.829999998</v>
      </c>
      <c r="E34" s="454">
        <f>'TRAIL BALANCE'!F188</f>
        <v>-24045257</v>
      </c>
    </row>
    <row r="35" spans="1:5" ht="13.5" thickBot="1">
      <c r="A35" s="454" t="s">
        <v>1487</v>
      </c>
      <c r="B35" s="454" t="s">
        <v>23</v>
      </c>
      <c r="C35" s="454" t="s">
        <v>23</v>
      </c>
      <c r="D35" s="454">
        <f>'TRAIL BALANCE'!E247</f>
        <v>-735000</v>
      </c>
      <c r="E35" s="454">
        <f>'TRAIL BALANCE'!F247</f>
        <v>-750000</v>
      </c>
    </row>
    <row r="36" spans="1:5" ht="13.5" thickBot="1">
      <c r="A36" s="858"/>
      <c r="B36" s="848"/>
      <c r="C36" s="848"/>
      <c r="D36" s="859">
        <f>SUM(D32:D35)</f>
        <v>-23424329.829999998</v>
      </c>
      <c r="E36" s="859">
        <f>SUM(E32:E35)</f>
        <v>-27795257</v>
      </c>
    </row>
    <row r="37" spans="1:5">
      <c r="E37" s="212"/>
    </row>
    <row r="38" spans="1:5">
      <c r="A38" s="454" t="s">
        <v>872</v>
      </c>
      <c r="B38" s="454" t="s">
        <v>1105</v>
      </c>
      <c r="C38" s="454" t="s">
        <v>1491</v>
      </c>
      <c r="D38" s="454">
        <v>0</v>
      </c>
      <c r="E38" s="212">
        <v>0</v>
      </c>
    </row>
    <row r="39" spans="1:5" ht="13.5" thickBot="1">
      <c r="A39" s="454" t="s">
        <v>1789</v>
      </c>
      <c r="B39" s="454" t="s">
        <v>1790</v>
      </c>
      <c r="C39" s="454" t="s">
        <v>1835</v>
      </c>
      <c r="D39" s="454">
        <f>'TRAIL BALANCE'!E377</f>
        <v>-7902795.96</v>
      </c>
      <c r="E39" s="454">
        <f>'TRAIL BALANCE'!F342</f>
        <v>-8552027.7699999996</v>
      </c>
    </row>
    <row r="40" spans="1:5" ht="13.5" thickBot="1">
      <c r="A40" s="858"/>
      <c r="B40" s="848"/>
      <c r="C40" s="848"/>
      <c r="D40" s="848">
        <f>SUM(D38:D39)</f>
        <v>-7902795.96</v>
      </c>
      <c r="E40" s="848">
        <f>SUM(E38:E39)</f>
        <v>-8552027.7699999996</v>
      </c>
    </row>
    <row r="41" spans="1:5">
      <c r="E41" s="212"/>
    </row>
    <row r="42" spans="1:5" ht="13.5" thickBot="1">
      <c r="A42" s="454" t="s">
        <v>1495</v>
      </c>
      <c r="D42" s="454">
        <f>'TRAIL BALANCE'!E437</f>
        <v>0</v>
      </c>
      <c r="E42" s="454">
        <f>'TRAIL BALANCE'!F437</f>
        <v>0</v>
      </c>
    </row>
    <row r="43" spans="1:5" ht="13.5" thickBot="1">
      <c r="A43" s="858"/>
      <c r="B43" s="848"/>
      <c r="C43" s="848"/>
      <c r="D43" s="848">
        <f>SUM(D42)</f>
        <v>0</v>
      </c>
      <c r="E43" s="848">
        <f>SUM(E42)</f>
        <v>0</v>
      </c>
    </row>
    <row r="44" spans="1:5">
      <c r="E44" s="212"/>
    </row>
    <row r="45" spans="1:5" ht="13.5" thickBot="1">
      <c r="A45" s="454" t="s">
        <v>1825</v>
      </c>
      <c r="B45" s="454" t="s">
        <v>1105</v>
      </c>
      <c r="C45" s="454" t="s">
        <v>1829</v>
      </c>
      <c r="D45" s="454">
        <f>'TRAIL BALANCE'!E379</f>
        <v>-50276</v>
      </c>
      <c r="E45" s="454">
        <f>'TRAIL BALANCE'!F378</f>
        <v>-2921572.99</v>
      </c>
    </row>
    <row r="46" spans="1:5" ht="13.5" thickBot="1">
      <c r="A46" s="858"/>
      <c r="B46" s="848"/>
      <c r="C46" s="848"/>
      <c r="D46" s="859">
        <f>SUM(D45)</f>
        <v>-50276</v>
      </c>
      <c r="E46" s="859">
        <f>SUM(E45)</f>
        <v>-2921572.99</v>
      </c>
    </row>
    <row r="48" spans="1:5">
      <c r="E48" s="212"/>
    </row>
    <row r="49" spans="1:5" ht="13.5" thickBot="1">
      <c r="A49" s="454" t="s">
        <v>162</v>
      </c>
      <c r="B49" s="454" t="s">
        <v>18</v>
      </c>
      <c r="C49" s="454" t="s">
        <v>163</v>
      </c>
      <c r="D49" s="454">
        <f>'TRAIL BALANCE'!E184</f>
        <v>-67227.759999999995</v>
      </c>
      <c r="E49" s="454">
        <f>'TRAIL BALANCE'!F184</f>
        <v>-169601.98</v>
      </c>
    </row>
    <row r="50" spans="1:5" ht="13.5" thickBot="1">
      <c r="A50" s="858"/>
      <c r="B50" s="848"/>
      <c r="C50" s="848"/>
      <c r="D50" s="859">
        <f>SUM(D49)</f>
        <v>-67227.759999999995</v>
      </c>
      <c r="E50" s="859">
        <f>SUM(E49)</f>
        <v>-169601.98</v>
      </c>
    </row>
    <row r="51" spans="1:5">
      <c r="E51" s="212"/>
    </row>
    <row r="52" spans="1:5" ht="13.5" thickBot="1">
      <c r="A52" s="454" t="s">
        <v>164</v>
      </c>
      <c r="B52" s="454" t="s">
        <v>19</v>
      </c>
      <c r="C52" s="454" t="s">
        <v>163</v>
      </c>
      <c r="D52" s="454">
        <f>'TRAIL BALANCE'!E185</f>
        <v>-799677.8</v>
      </c>
      <c r="E52" s="454">
        <f>'TRAIL BALANCE'!F185</f>
        <v>-1447504.56</v>
      </c>
    </row>
    <row r="53" spans="1:5" ht="13.5" thickBot="1">
      <c r="A53" s="858"/>
      <c r="B53" s="848"/>
      <c r="C53" s="848"/>
      <c r="D53" s="859">
        <f>SUM(D52)</f>
        <v>-799677.8</v>
      </c>
      <c r="E53" s="859">
        <f>SUM(E52)</f>
        <v>-1447504.56</v>
      </c>
    </row>
    <row r="54" spans="1:5">
      <c r="E54" s="212"/>
    </row>
    <row r="55" spans="1:5" ht="13.5" thickBot="1">
      <c r="A55" s="454" t="s">
        <v>1406</v>
      </c>
      <c r="B55" s="454" t="s">
        <v>308</v>
      </c>
      <c r="C55" s="454" t="s">
        <v>1839</v>
      </c>
      <c r="D55" s="454">
        <f>'TRAIL BALANCE'!E372</f>
        <v>-792062.21</v>
      </c>
      <c r="E55" s="454">
        <f>'TRAIL BALANCE'!F376</f>
        <v>-13580114.220000001</v>
      </c>
    </row>
    <row r="56" spans="1:5" ht="13.5" thickBot="1">
      <c r="A56" s="858"/>
      <c r="B56" s="848"/>
      <c r="C56" s="848"/>
      <c r="D56" s="859">
        <f>SUM(D55)</f>
        <v>-792062.21</v>
      </c>
      <c r="E56" s="859">
        <f>SUM(E55)</f>
        <v>-13580114.220000001</v>
      </c>
    </row>
    <row r="58" spans="1:5" ht="13.5" thickBot="1">
      <c r="A58" s="454" t="s">
        <v>886</v>
      </c>
      <c r="B58" s="454" t="s">
        <v>24</v>
      </c>
      <c r="C58" s="454" t="s">
        <v>1306</v>
      </c>
      <c r="D58" s="454">
        <f>'TRAIL BALANCE'!E314</f>
        <v>-5016917.6399999997</v>
      </c>
      <c r="E58" s="454">
        <f>'TRAIL BALANCE'!F314</f>
        <v>-6029938.0300000003</v>
      </c>
    </row>
    <row r="59" spans="1:5" ht="13.5" thickBot="1">
      <c r="A59" s="858"/>
      <c r="B59" s="848"/>
      <c r="C59" s="848"/>
      <c r="D59" s="859">
        <f>SUM(D58)</f>
        <v>-5016917.6399999997</v>
      </c>
      <c r="E59" s="859">
        <f>SUM(E58)</f>
        <v>-6029938.0300000003</v>
      </c>
    </row>
    <row r="60" spans="1:5">
      <c r="E60" s="212"/>
    </row>
    <row r="61" spans="1:5">
      <c r="A61" s="454" t="s">
        <v>852</v>
      </c>
      <c r="B61" s="454" t="s">
        <v>761</v>
      </c>
      <c r="C61" s="454" t="s">
        <v>742</v>
      </c>
      <c r="D61" s="454">
        <f>'TRAIL BALANCE'!E278</f>
        <v>0</v>
      </c>
      <c r="E61" s="454">
        <f>'TRAIL BALANCE'!F278</f>
        <v>0</v>
      </c>
    </row>
    <row r="62" spans="1:5">
      <c r="A62" s="454" t="s">
        <v>1788</v>
      </c>
      <c r="B62" s="454" t="s">
        <v>761</v>
      </c>
      <c r="C62" s="454" t="s">
        <v>1840</v>
      </c>
      <c r="D62" s="454">
        <f>'TRAIL BALANCE'!E373</f>
        <v>-1219.28</v>
      </c>
      <c r="E62" s="454">
        <f>'TRAIL BALANCE'!F373</f>
        <v>0</v>
      </c>
    </row>
    <row r="63" spans="1:5">
      <c r="A63" s="454" t="s">
        <v>1407</v>
      </c>
      <c r="B63" s="454" t="s">
        <v>761</v>
      </c>
      <c r="C63" s="454" t="s">
        <v>1840</v>
      </c>
      <c r="D63" s="454">
        <f>'TRAIL BALANCE'!E374</f>
        <v>-225223.43</v>
      </c>
      <c r="E63" s="454">
        <f>'TRAIL BALANCE'!F374</f>
        <v>-941149.42</v>
      </c>
    </row>
    <row r="64" spans="1:5" ht="13.5" thickBot="1">
      <c r="A64" s="454" t="s">
        <v>1792</v>
      </c>
      <c r="B64" s="454" t="s">
        <v>761</v>
      </c>
      <c r="C64" s="454" t="s">
        <v>742</v>
      </c>
      <c r="D64" s="454">
        <f>'TRAIL BALANCE'!E415</f>
        <v>0</v>
      </c>
      <c r="E64" s="454">
        <f>'TRAIL BALANCE'!F415</f>
        <v>-54116</v>
      </c>
    </row>
    <row r="65" spans="1:5" ht="13.5" thickBot="1">
      <c r="A65" s="858"/>
      <c r="B65" s="848"/>
      <c r="C65" s="848"/>
      <c r="D65" s="859">
        <f>SUM(D61:D64)</f>
        <v>-226442.71</v>
      </c>
      <c r="E65" s="859">
        <f>SUM(E61:E64)</f>
        <v>-995265.42</v>
      </c>
    </row>
    <row r="67" spans="1:5">
      <c r="E67" s="212"/>
    </row>
    <row r="68" spans="1:5">
      <c r="A68" s="454" t="s">
        <v>221</v>
      </c>
      <c r="B68" s="454" t="s">
        <v>793</v>
      </c>
      <c r="C68" s="454" t="s">
        <v>873</v>
      </c>
      <c r="D68" s="454">
        <f>'TRAIL BALANCE'!E429</f>
        <v>-26885636.309999999</v>
      </c>
      <c r="E68" s="454">
        <f>'TRAIL BALANCE'!F429</f>
        <v>-38924217.200000003</v>
      </c>
    </row>
    <row r="69" spans="1:5">
      <c r="A69" s="454" t="s">
        <v>222</v>
      </c>
      <c r="B69" s="454" t="s">
        <v>793</v>
      </c>
      <c r="C69" s="454" t="s">
        <v>873</v>
      </c>
      <c r="D69" s="454">
        <f>'TRAIL BALANCE'!E430</f>
        <v>-248321.23</v>
      </c>
      <c r="E69" s="454">
        <f>'TRAIL BALANCE'!F430</f>
        <v>-87968.46</v>
      </c>
    </row>
    <row r="70" spans="1:5">
      <c r="A70" s="454" t="s">
        <v>223</v>
      </c>
      <c r="B70" s="454" t="s">
        <v>793</v>
      </c>
      <c r="C70" s="454" t="s">
        <v>873</v>
      </c>
      <c r="D70" s="454">
        <f>'TRAIL BALANCE'!E431</f>
        <v>-175884.61</v>
      </c>
      <c r="E70" s="454">
        <f>'TRAIL BALANCE'!F431</f>
        <v>-1570225.9</v>
      </c>
    </row>
    <row r="71" spans="1:5">
      <c r="A71" s="454" t="s">
        <v>224</v>
      </c>
      <c r="B71" s="454" t="s">
        <v>793</v>
      </c>
      <c r="C71" s="454" t="s">
        <v>873</v>
      </c>
      <c r="D71" s="454">
        <f>'TRAIL BALANCE'!E432</f>
        <v>-10749142.550000001</v>
      </c>
      <c r="E71" s="454">
        <f>'TRAIL BALANCE'!F432</f>
        <v>-8923144.1400000006</v>
      </c>
    </row>
    <row r="72" spans="1:5">
      <c r="A72" s="454" t="s">
        <v>1793</v>
      </c>
      <c r="B72" s="454" t="s">
        <v>793</v>
      </c>
      <c r="C72" s="454" t="s">
        <v>1832</v>
      </c>
      <c r="D72" s="454">
        <f>'TRAIL BALANCE'!E435</f>
        <v>-9917.69</v>
      </c>
      <c r="E72" s="454">
        <f>'TRAIL BALANCE'!F435</f>
        <v>-132022.65</v>
      </c>
    </row>
    <row r="73" spans="1:5">
      <c r="A73" s="454" t="s">
        <v>1496</v>
      </c>
      <c r="B73" s="454" t="s">
        <v>793</v>
      </c>
      <c r="C73" s="454" t="s">
        <v>1833</v>
      </c>
      <c r="D73" s="454">
        <f>'TRAIL BALANCE'!E433</f>
        <v>-1492029.19</v>
      </c>
      <c r="E73" s="454">
        <f>'TRAIL BALANCE'!F433</f>
        <v>-1842237.5</v>
      </c>
    </row>
    <row r="74" spans="1:5" ht="13.5" thickBot="1">
      <c r="A74" s="454" t="s">
        <v>1497</v>
      </c>
      <c r="B74" s="454" t="s">
        <v>793</v>
      </c>
      <c r="C74" s="454" t="s">
        <v>1833</v>
      </c>
      <c r="D74" s="454">
        <f>'TRAIL BALANCE'!E434</f>
        <v>-1433810.11</v>
      </c>
      <c r="E74" s="454">
        <f>'TRAIL BALANCE'!F434</f>
        <v>-2349112.5</v>
      </c>
    </row>
    <row r="75" spans="1:5" ht="13.5" thickBot="1">
      <c r="A75" s="858"/>
      <c r="B75" s="848"/>
      <c r="C75" s="848"/>
      <c r="D75" s="859">
        <f>SUM(D68:D74)</f>
        <v>-40994741.689999998</v>
      </c>
      <c r="E75" s="859">
        <f>SUM(E68:E74)</f>
        <v>-53828928.350000001</v>
      </c>
    </row>
    <row r="77" spans="1:5" ht="13.5" thickBot="1">
      <c r="A77" s="454" t="s">
        <v>1830</v>
      </c>
      <c r="B77" s="454" t="s">
        <v>793</v>
      </c>
      <c r="C77" s="454" t="s">
        <v>1831</v>
      </c>
      <c r="D77" s="454">
        <f>'TRAIL BALANCE'!E436</f>
        <v>-754842.32000000007</v>
      </c>
      <c r="E77" s="454">
        <f>'TRAIL BALANCE'!F436</f>
        <v>-943941.6399999999</v>
      </c>
    </row>
    <row r="78" spans="1:5" ht="13.5" thickBot="1">
      <c r="A78" s="858"/>
      <c r="B78" s="848"/>
      <c r="C78" s="848"/>
      <c r="D78" s="859">
        <f>SUM(D77)</f>
        <v>-754842.32000000007</v>
      </c>
      <c r="E78" s="859">
        <f>SUM(E77)</f>
        <v>-943941.6399999999</v>
      </c>
    </row>
    <row r="80" spans="1:5" ht="13.5" thickBot="1">
      <c r="A80" s="454" t="s">
        <v>924</v>
      </c>
      <c r="B80" s="454" t="s">
        <v>25</v>
      </c>
      <c r="C80" s="454" t="s">
        <v>925</v>
      </c>
      <c r="D80" s="454">
        <f>'TRAIL BALANCE'!E520</f>
        <v>-2343576.65</v>
      </c>
      <c r="E80" s="454">
        <f>'TRAIL BALANCE'!F520</f>
        <v>-2361495.7999999998</v>
      </c>
    </row>
    <row r="81" spans="1:5" ht="13.5" thickBot="1">
      <c r="A81" s="858"/>
      <c r="B81" s="848"/>
      <c r="C81" s="848"/>
      <c r="D81" s="859">
        <f>SUM(D80)</f>
        <v>-2343576.65</v>
      </c>
      <c r="E81" s="859">
        <f>SUM(E80)</f>
        <v>-2361495.7999999998</v>
      </c>
    </row>
    <row r="82" spans="1:5">
      <c r="E82" s="212"/>
    </row>
    <row r="83" spans="1:5" ht="13.5" thickBot="1">
      <c r="A83" s="454" t="s">
        <v>926</v>
      </c>
      <c r="B83" s="454" t="s">
        <v>26</v>
      </c>
      <c r="C83" s="454" t="s">
        <v>784</v>
      </c>
      <c r="D83" s="454">
        <f>'TRAIL BALANCE'!E521</f>
        <v>-444496</v>
      </c>
      <c r="E83" s="454">
        <f>'TRAIL BALANCE'!F521</f>
        <v>-1302820</v>
      </c>
    </row>
    <row r="84" spans="1:5" ht="13.5" thickBot="1">
      <c r="A84" s="858"/>
      <c r="B84" s="848"/>
      <c r="C84" s="848"/>
      <c r="D84" s="859">
        <f>SUM(D83)</f>
        <v>-444496</v>
      </c>
      <c r="E84" s="859">
        <f>SUM(E83)</f>
        <v>-1302820</v>
      </c>
    </row>
    <row r="85" spans="1:5">
      <c r="E85" s="212"/>
    </row>
    <row r="86" spans="1:5" ht="13.5" thickBot="1">
      <c r="A86" s="454" t="s">
        <v>1854</v>
      </c>
      <c r="D86" s="454">
        <f>'TRAIL BALANCE'!E420</f>
        <v>-783000</v>
      </c>
      <c r="E86" s="454">
        <v>0</v>
      </c>
    </row>
    <row r="87" spans="1:5" ht="13.5" thickBot="1">
      <c r="A87" s="858"/>
      <c r="B87" s="848"/>
      <c r="C87" s="848"/>
      <c r="D87" s="848">
        <f>SUM(D86)</f>
        <v>-783000</v>
      </c>
      <c r="E87" s="849">
        <f>SUM(E86)</f>
        <v>0</v>
      </c>
    </row>
    <row r="88" spans="1:5">
      <c r="D88" s="454">
        <f>SUM(D8:D87)/2</f>
        <v>-93310873.039999992</v>
      </c>
      <c r="E88" s="454">
        <f>SUM(E8:E87)/2</f>
        <v>-131009388.14999998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B1:G135"/>
  <sheetViews>
    <sheetView view="pageBreakPreview" zoomScaleSheetLayoutView="100" workbookViewId="0">
      <selection activeCell="C43" activeCellId="1" sqref="E18 C43"/>
    </sheetView>
  </sheetViews>
  <sheetFormatPr defaultRowHeight="12.75"/>
  <cols>
    <col min="1" max="1" width="9.140625" style="508"/>
    <col min="2" max="2" width="32.5703125" style="508" bestFit="1" customWidth="1"/>
    <col min="3" max="3" width="22.42578125" style="508" bestFit="1" customWidth="1"/>
    <col min="4" max="4" width="19.7109375" style="508" customWidth="1"/>
    <col min="5" max="16384" width="9.140625" style="508"/>
  </cols>
  <sheetData>
    <row r="1" spans="2:4" ht="13.5" thickBot="1">
      <c r="B1" s="565"/>
      <c r="C1" s="565"/>
      <c r="D1" s="566"/>
    </row>
    <row r="2" spans="2:4" ht="13.5" thickTop="1">
      <c r="B2" s="567"/>
      <c r="C2" s="568"/>
      <c r="D2" s="569"/>
    </row>
    <row r="3" spans="2:4">
      <c r="B3" s="1659" t="s">
        <v>607</v>
      </c>
      <c r="C3" s="1660"/>
      <c r="D3" s="1661"/>
    </row>
    <row r="4" spans="2:4" ht="13.5" thickBot="1">
      <c r="B4" s="570"/>
      <c r="C4" s="571"/>
      <c r="D4" s="572"/>
    </row>
    <row r="5" spans="2:4" ht="13.5" thickTop="1">
      <c r="B5" s="565"/>
      <c r="C5" s="565"/>
      <c r="D5" s="565"/>
    </row>
    <row r="6" spans="2:4">
      <c r="B6" s="1014" t="s">
        <v>959</v>
      </c>
      <c r="C6" s="1015"/>
      <c r="D6" s="1016" t="s">
        <v>2479</v>
      </c>
    </row>
    <row r="7" spans="2:4">
      <c r="B7" s="1015" t="s">
        <v>389</v>
      </c>
      <c r="C7" s="1017" t="s">
        <v>608</v>
      </c>
      <c r="D7" s="1015" t="s">
        <v>2480</v>
      </c>
    </row>
    <row r="8" spans="2:4">
      <c r="B8" s="1015" t="s">
        <v>609</v>
      </c>
      <c r="C8" s="1017" t="s">
        <v>1672</v>
      </c>
      <c r="D8" s="1015" t="s">
        <v>2481</v>
      </c>
    </row>
    <row r="9" spans="2:4">
      <c r="B9" s="1015" t="s">
        <v>609</v>
      </c>
      <c r="C9" s="1017" t="s">
        <v>610</v>
      </c>
      <c r="D9" s="1015" t="s">
        <v>2480</v>
      </c>
    </row>
    <row r="10" spans="2:4">
      <c r="B10" s="1015" t="s">
        <v>609</v>
      </c>
      <c r="C10" s="1017" t="s">
        <v>611</v>
      </c>
      <c r="D10" s="1015" t="s">
        <v>2480</v>
      </c>
    </row>
    <row r="11" spans="2:4">
      <c r="B11" s="1015" t="s">
        <v>609</v>
      </c>
      <c r="C11" s="1017" t="s">
        <v>612</v>
      </c>
      <c r="D11" s="1015" t="s">
        <v>2482</v>
      </c>
    </row>
    <row r="12" spans="2:4">
      <c r="B12" s="1015" t="s">
        <v>609</v>
      </c>
      <c r="C12" s="1017" t="s">
        <v>613</v>
      </c>
      <c r="D12" s="1015" t="s">
        <v>2482</v>
      </c>
    </row>
    <row r="13" spans="2:4">
      <c r="B13" s="1015" t="s">
        <v>609</v>
      </c>
      <c r="C13" s="363" t="s">
        <v>614</v>
      </c>
      <c r="D13" s="1015" t="s">
        <v>2482</v>
      </c>
    </row>
    <row r="14" spans="2:4">
      <c r="B14" s="1015" t="s">
        <v>609</v>
      </c>
      <c r="C14" s="1017" t="s">
        <v>615</v>
      </c>
      <c r="D14" s="1015" t="s">
        <v>2482</v>
      </c>
    </row>
    <row r="15" spans="2:4">
      <c r="B15" s="1015" t="s">
        <v>609</v>
      </c>
      <c r="C15" s="1017" t="s">
        <v>616</v>
      </c>
      <c r="D15" s="1015" t="s">
        <v>2482</v>
      </c>
    </row>
    <row r="16" spans="2:4">
      <c r="B16" s="1015" t="s">
        <v>609</v>
      </c>
      <c r="C16" s="1017" t="s">
        <v>1673</v>
      </c>
      <c r="D16" s="1015" t="s">
        <v>2483</v>
      </c>
    </row>
    <row r="17" spans="2:4">
      <c r="B17" s="1015" t="s">
        <v>609</v>
      </c>
      <c r="C17" s="1015" t="s">
        <v>617</v>
      </c>
      <c r="D17" s="1015" t="s">
        <v>2482</v>
      </c>
    </row>
    <row r="18" spans="2:4">
      <c r="B18" s="1015"/>
      <c r="C18" s="1015"/>
      <c r="D18" s="1015"/>
    </row>
    <row r="19" spans="2:4">
      <c r="B19" s="1014" t="s">
        <v>959</v>
      </c>
      <c r="C19" s="1015"/>
      <c r="D19" s="1016" t="s">
        <v>2484</v>
      </c>
    </row>
    <row r="20" spans="2:4">
      <c r="B20" s="1015" t="s">
        <v>389</v>
      </c>
      <c r="C20" s="1015" t="s">
        <v>2485</v>
      </c>
      <c r="D20" s="1015" t="s">
        <v>2486</v>
      </c>
    </row>
    <row r="21" spans="2:4">
      <c r="B21" s="1015" t="s">
        <v>609</v>
      </c>
      <c r="C21" s="1015" t="s">
        <v>2487</v>
      </c>
      <c r="D21" s="1015" t="s">
        <v>2486</v>
      </c>
    </row>
    <row r="22" spans="2:4">
      <c r="B22" s="1015" t="s">
        <v>609</v>
      </c>
      <c r="C22" s="1015" t="s">
        <v>2474</v>
      </c>
      <c r="D22" s="1015" t="s">
        <v>2486</v>
      </c>
    </row>
    <row r="23" spans="2:4">
      <c r="B23" s="1015" t="s">
        <v>609</v>
      </c>
      <c r="C23" s="1015" t="s">
        <v>616</v>
      </c>
      <c r="D23" s="1015" t="s">
        <v>2486</v>
      </c>
    </row>
    <row r="24" spans="2:4">
      <c r="B24" s="1015" t="s">
        <v>609</v>
      </c>
      <c r="C24" s="1015" t="s">
        <v>2488</v>
      </c>
      <c r="D24" s="1015" t="s">
        <v>2486</v>
      </c>
    </row>
    <row r="25" spans="2:4">
      <c r="B25" s="1015" t="s">
        <v>609</v>
      </c>
      <c r="C25" s="1015" t="s">
        <v>2489</v>
      </c>
      <c r="D25" s="1015" t="s">
        <v>2486</v>
      </c>
    </row>
    <row r="26" spans="2:4">
      <c r="B26" s="1015" t="s">
        <v>609</v>
      </c>
      <c r="C26" s="1015" t="s">
        <v>2490</v>
      </c>
      <c r="D26" s="1015" t="s">
        <v>2486</v>
      </c>
    </row>
    <row r="27" spans="2:4">
      <c r="B27" s="1015" t="s">
        <v>609</v>
      </c>
      <c r="C27" s="1015" t="s">
        <v>2491</v>
      </c>
      <c r="D27" s="1015" t="s">
        <v>2486</v>
      </c>
    </row>
    <row r="28" spans="2:4">
      <c r="B28" s="1015" t="s">
        <v>609</v>
      </c>
      <c r="C28" s="1015" t="s">
        <v>2492</v>
      </c>
      <c r="D28" s="1015" t="s">
        <v>2486</v>
      </c>
    </row>
    <row r="29" spans="2:4">
      <c r="B29" s="1015" t="s">
        <v>609</v>
      </c>
      <c r="C29" s="1015" t="s">
        <v>2493</v>
      </c>
      <c r="D29" s="1015" t="s">
        <v>2486</v>
      </c>
    </row>
    <row r="30" spans="2:4">
      <c r="B30" s="1015" t="s">
        <v>609</v>
      </c>
      <c r="C30" s="1015" t="s">
        <v>2476</v>
      </c>
      <c r="D30" s="1015" t="s">
        <v>2486</v>
      </c>
    </row>
    <row r="31" spans="2:4">
      <c r="B31" s="565"/>
      <c r="C31" s="565"/>
      <c r="D31" s="565"/>
    </row>
    <row r="32" spans="2:4">
      <c r="B32" s="573" t="s">
        <v>618</v>
      </c>
      <c r="C32" s="565"/>
      <c r="D32" s="565"/>
    </row>
    <row r="33" spans="2:4">
      <c r="B33" s="565" t="s">
        <v>619</v>
      </c>
      <c r="C33" s="565"/>
      <c r="D33" s="565"/>
    </row>
    <row r="34" spans="2:4">
      <c r="B34" s="565"/>
      <c r="C34" s="565"/>
      <c r="D34" s="565"/>
    </row>
    <row r="35" spans="2:4">
      <c r="B35" s="573" t="s">
        <v>620</v>
      </c>
      <c r="C35" s="565"/>
      <c r="D35" s="565"/>
    </row>
    <row r="36" spans="2:4">
      <c r="B36" s="565" t="s">
        <v>621</v>
      </c>
      <c r="C36" s="565"/>
      <c r="D36" s="565"/>
    </row>
    <row r="37" spans="2:4">
      <c r="B37" s="565"/>
      <c r="C37" s="565"/>
      <c r="D37" s="565"/>
    </row>
    <row r="38" spans="2:4">
      <c r="B38" s="573" t="s">
        <v>622</v>
      </c>
      <c r="C38" s="565"/>
      <c r="D38" s="565"/>
    </row>
    <row r="39" spans="2:4">
      <c r="B39" s="565" t="s">
        <v>623</v>
      </c>
      <c r="C39" s="565"/>
      <c r="D39" s="565"/>
    </row>
    <row r="40" spans="2:4">
      <c r="B40" s="565"/>
      <c r="C40" s="565"/>
      <c r="D40" s="565"/>
    </row>
    <row r="41" spans="2:4">
      <c r="B41" s="573" t="s">
        <v>624</v>
      </c>
      <c r="C41" s="565"/>
      <c r="D41" s="565"/>
    </row>
    <row r="42" spans="2:4">
      <c r="B42" s="565" t="s">
        <v>625</v>
      </c>
      <c r="C42" s="565" t="s">
        <v>2</v>
      </c>
      <c r="D42" s="565"/>
    </row>
    <row r="43" spans="2:4">
      <c r="B43" s="565" t="s">
        <v>0</v>
      </c>
      <c r="C43" s="565" t="s">
        <v>50</v>
      </c>
      <c r="D43" s="565"/>
    </row>
    <row r="44" spans="2:4">
      <c r="B44" s="565" t="s">
        <v>50</v>
      </c>
      <c r="C44" s="565" t="s">
        <v>1</v>
      </c>
      <c r="D44" s="565"/>
    </row>
    <row r="45" spans="2:4">
      <c r="B45" s="565" t="s">
        <v>1</v>
      </c>
      <c r="C45" s="565"/>
      <c r="D45" s="565"/>
    </row>
    <row r="46" spans="2:4">
      <c r="B46" s="565"/>
      <c r="C46" s="565"/>
      <c r="D46" s="565"/>
    </row>
    <row r="47" spans="2:4">
      <c r="B47" s="565" t="s">
        <v>3</v>
      </c>
      <c r="C47" s="565" t="s">
        <v>4</v>
      </c>
      <c r="D47" s="565"/>
    </row>
    <row r="48" spans="2:4">
      <c r="B48" s="565" t="s">
        <v>5</v>
      </c>
      <c r="C48" s="565" t="s">
        <v>6</v>
      </c>
      <c r="D48" s="565"/>
    </row>
    <row r="49" spans="2:4">
      <c r="B49" s="565"/>
      <c r="C49" s="565"/>
      <c r="D49" s="565"/>
    </row>
    <row r="50" spans="2:4">
      <c r="B50" s="573" t="s">
        <v>2671</v>
      </c>
      <c r="C50" s="565"/>
      <c r="D50" s="565"/>
    </row>
    <row r="51" spans="2:4">
      <c r="B51" s="1064" t="s">
        <v>2670</v>
      </c>
      <c r="C51" s="565"/>
      <c r="D51" s="565"/>
    </row>
    <row r="52" spans="2:4">
      <c r="B52" s="1064"/>
      <c r="C52" s="565"/>
      <c r="D52" s="565"/>
    </row>
    <row r="53" spans="2:4">
      <c r="B53" s="573" t="s">
        <v>2672</v>
      </c>
      <c r="C53" s="565"/>
      <c r="D53" s="565"/>
    </row>
    <row r="54" spans="2:4">
      <c r="B54" s="1064" t="s">
        <v>2669</v>
      </c>
      <c r="C54" s="565"/>
      <c r="D54" s="565"/>
    </row>
    <row r="55" spans="2:4">
      <c r="B55" s="1064" t="s">
        <v>2673</v>
      </c>
      <c r="C55" s="565"/>
      <c r="D55" s="565"/>
    </row>
    <row r="56" spans="2:4">
      <c r="B56" s="1064" t="s">
        <v>2674</v>
      </c>
      <c r="C56" s="565"/>
      <c r="D56" s="565"/>
    </row>
    <row r="58" spans="2:4">
      <c r="B58" s="1063" t="s">
        <v>2675</v>
      </c>
    </row>
    <row r="59" spans="2:4">
      <c r="B59" s="363" t="s">
        <v>2677</v>
      </c>
      <c r="C59" s="363" t="s">
        <v>2775</v>
      </c>
    </row>
    <row r="60" spans="2:4">
      <c r="B60" s="1015" t="s">
        <v>3</v>
      </c>
      <c r="C60" s="1204" t="s">
        <v>2776</v>
      </c>
    </row>
    <row r="61" spans="2:4">
      <c r="B61" s="363"/>
      <c r="C61" s="1204" t="s">
        <v>2777</v>
      </c>
    </row>
    <row r="62" spans="2:4" ht="15">
      <c r="B62" s="363" t="s">
        <v>2678</v>
      </c>
      <c r="C62" s="1205" t="s">
        <v>2778</v>
      </c>
    </row>
    <row r="63" spans="2:4">
      <c r="B63" s="363"/>
      <c r="C63" s="363"/>
    </row>
    <row r="64" spans="2:4">
      <c r="B64" s="940" t="s">
        <v>2676</v>
      </c>
      <c r="C64" s="363"/>
    </row>
    <row r="65" spans="2:3">
      <c r="B65" s="363" t="s">
        <v>2677</v>
      </c>
      <c r="C65" s="363" t="s">
        <v>2779</v>
      </c>
    </row>
    <row r="66" spans="2:3">
      <c r="B66" s="1015" t="s">
        <v>3</v>
      </c>
      <c r="C66" s="363"/>
    </row>
    <row r="67" spans="2:3" ht="15">
      <c r="B67" s="363" t="s">
        <v>2678</v>
      </c>
      <c r="C67" s="1205" t="s">
        <v>2780</v>
      </c>
    </row>
    <row r="68" spans="2:3">
      <c r="B68" s="1062"/>
    </row>
    <row r="135" spans="7:7">
      <c r="G135" s="508">
        <v>5253981.1399999997</v>
      </c>
    </row>
  </sheetData>
  <mergeCells count="1">
    <mergeCell ref="B3:D3"/>
  </mergeCells>
  <phoneticPr fontId="13" type="noConversion"/>
  <hyperlinks>
    <hyperlink ref="C62" r:id="rId1"/>
    <hyperlink ref="C67" r:id="rId2"/>
  </hyperlinks>
  <printOptions horizontalCentered="1"/>
  <pageMargins left="0.70866141732283472" right="0.70866141732283472" top="0.39370078740157483" bottom="0.39370078740157483" header="0.31496062992125984" footer="0.31496062992125984"/>
  <pageSetup paperSize="9" scale="93" orientation="portrait" r:id="rId3"/>
  <headerFooter>
    <oddFooter>&amp;C&amp;P</oddFooter>
  </headerFooter>
</worksheet>
</file>

<file path=xl/worksheets/sheet40.xml><?xml version="1.0" encoding="utf-8"?>
<worksheet xmlns="http://schemas.openxmlformats.org/spreadsheetml/2006/main" xmlns:r="http://schemas.openxmlformats.org/officeDocument/2006/relationships">
  <dimension ref="A2:G596"/>
  <sheetViews>
    <sheetView view="pageBreakPreview" topLeftCell="A555" zoomScaleSheetLayoutView="100" workbookViewId="0">
      <selection activeCell="F293" sqref="F293"/>
    </sheetView>
  </sheetViews>
  <sheetFormatPr defaultColWidth="19" defaultRowHeight="12.75"/>
  <cols>
    <col min="1" max="1" width="19" style="454"/>
    <col min="2" max="2" width="24.28515625" style="454" customWidth="1"/>
    <col min="3" max="3" width="24.140625" style="454" customWidth="1"/>
    <col min="4" max="4" width="30.5703125" style="454" hidden="1" customWidth="1"/>
    <col min="5" max="5" width="23.28515625" style="454" hidden="1" customWidth="1"/>
    <col min="6" max="6" width="19.140625" style="454" bestFit="1" customWidth="1"/>
    <col min="7" max="16384" width="19" style="454"/>
  </cols>
  <sheetData>
    <row r="2" spans="1:6">
      <c r="D2" s="457" t="s">
        <v>2337</v>
      </c>
      <c r="E2" s="457" t="s">
        <v>2338</v>
      </c>
      <c r="F2" s="457" t="s">
        <v>2339</v>
      </c>
    </row>
    <row r="3" spans="1:6">
      <c r="D3" s="457"/>
      <c r="E3" s="457"/>
      <c r="F3" s="457"/>
    </row>
    <row r="4" spans="1:6">
      <c r="A4" s="454" t="s">
        <v>28</v>
      </c>
      <c r="B4" s="454" t="s">
        <v>964</v>
      </c>
      <c r="C4" s="454" t="s">
        <v>1826</v>
      </c>
      <c r="D4" s="457"/>
      <c r="E4" s="457"/>
      <c r="F4" s="457"/>
    </row>
    <row r="5" spans="1:6">
      <c r="D5" s="457"/>
      <c r="E5" s="457"/>
      <c r="F5" s="457"/>
    </row>
    <row r="6" spans="1:6">
      <c r="A6" s="454" t="s">
        <v>16</v>
      </c>
      <c r="D6" s="457"/>
      <c r="E6" s="457"/>
      <c r="F6" s="457"/>
    </row>
    <row r="7" spans="1:6">
      <c r="A7" s="454" t="s">
        <v>367</v>
      </c>
      <c r="B7" s="454" t="s">
        <v>16</v>
      </c>
      <c r="C7" s="454" t="s">
        <v>368</v>
      </c>
      <c r="D7" s="457">
        <v>-5951451</v>
      </c>
      <c r="E7" s="457">
        <v>-4680180</v>
      </c>
      <c r="F7" s="1061">
        <v>-4680180</v>
      </c>
    </row>
    <row r="8" spans="1:6">
      <c r="A8" s="454" t="s">
        <v>369</v>
      </c>
      <c r="B8" s="454" t="s">
        <v>16</v>
      </c>
      <c r="C8" s="454" t="s">
        <v>370</v>
      </c>
      <c r="D8" s="457">
        <v>-410302</v>
      </c>
      <c r="E8" s="457">
        <v>-434430</v>
      </c>
      <c r="F8" s="1061">
        <v>-434430</v>
      </c>
    </row>
    <row r="9" spans="1:6">
      <c r="A9" s="454" t="s">
        <v>371</v>
      </c>
      <c r="B9" s="454" t="s">
        <v>16</v>
      </c>
      <c r="C9" s="454" t="s">
        <v>372</v>
      </c>
      <c r="D9" s="457">
        <v>-1880113</v>
      </c>
      <c r="E9" s="457">
        <v>-3474650</v>
      </c>
      <c r="F9" s="1061">
        <v>-3474650</v>
      </c>
    </row>
    <row r="10" spans="1:6">
      <c r="A10" s="454" t="s">
        <v>373</v>
      </c>
      <c r="B10" s="454" t="s">
        <v>16</v>
      </c>
      <c r="C10" s="454" t="s">
        <v>374</v>
      </c>
      <c r="D10" s="457">
        <v>-3036157</v>
      </c>
      <c r="E10" s="457">
        <v>-2687240</v>
      </c>
      <c r="F10" s="1061">
        <v>-2687240</v>
      </c>
    </row>
    <row r="11" spans="1:6">
      <c r="A11" s="454" t="s">
        <v>1762</v>
      </c>
      <c r="B11" s="454" t="s">
        <v>16</v>
      </c>
      <c r="C11" s="454" t="s">
        <v>1763</v>
      </c>
      <c r="D11" s="457"/>
      <c r="E11" s="457"/>
      <c r="F11" s="457"/>
    </row>
    <row r="12" spans="1:6">
      <c r="A12" s="454" t="s">
        <v>1764</v>
      </c>
      <c r="B12" s="454" t="s">
        <v>16</v>
      </c>
      <c r="C12" s="454" t="s">
        <v>1765</v>
      </c>
      <c r="D12" s="457"/>
      <c r="E12" s="457"/>
      <c r="F12" s="457"/>
    </row>
    <row r="13" spans="1:6" ht="13.5" thickBot="1">
      <c r="A13" s="454" t="s">
        <v>1828</v>
      </c>
      <c r="D13" s="867">
        <f>SUM(D7:D12)</f>
        <v>-11278023</v>
      </c>
      <c r="E13" s="867">
        <f t="shared" ref="E13:F13" si="0">SUM(E7:E12)</f>
        <v>-11276500</v>
      </c>
      <c r="F13" s="867">
        <f t="shared" si="0"/>
        <v>-11276500</v>
      </c>
    </row>
    <row r="14" spans="1:6" ht="13.5" thickTop="1">
      <c r="D14" s="457"/>
      <c r="E14" s="457"/>
      <c r="F14" s="457"/>
    </row>
    <row r="15" spans="1:6">
      <c r="A15" s="454" t="s">
        <v>375</v>
      </c>
      <c r="C15" s="454" t="s">
        <v>1827</v>
      </c>
      <c r="D15" s="457"/>
      <c r="E15" s="457"/>
      <c r="F15" s="457"/>
    </row>
    <row r="16" spans="1:6" ht="13.5" thickBot="1">
      <c r="D16" s="860">
        <f>SUM(D15)</f>
        <v>0</v>
      </c>
      <c r="E16" s="860">
        <f t="shared" ref="E16:F16" si="1">SUM(E15)</f>
        <v>0</v>
      </c>
      <c r="F16" s="860">
        <f t="shared" si="1"/>
        <v>0</v>
      </c>
    </row>
    <row r="17" spans="1:6" ht="13.5" thickTop="1">
      <c r="D17" s="457"/>
      <c r="E17" s="457"/>
      <c r="F17" s="457"/>
    </row>
    <row r="18" spans="1:6">
      <c r="A18" s="454" t="s">
        <v>1766</v>
      </c>
      <c r="B18" s="454" t="s">
        <v>308</v>
      </c>
      <c r="C18" s="454" t="s">
        <v>376</v>
      </c>
      <c r="D18" s="457">
        <v>-47409</v>
      </c>
      <c r="E18" s="457"/>
      <c r="F18" s="457"/>
    </row>
    <row r="19" spans="1:6">
      <c r="A19" s="454" t="s">
        <v>1767</v>
      </c>
      <c r="B19" s="454" t="s">
        <v>308</v>
      </c>
      <c r="C19" s="454" t="s">
        <v>1768</v>
      </c>
      <c r="D19" s="457">
        <v>-5074</v>
      </c>
      <c r="E19" s="457">
        <v>-20000</v>
      </c>
      <c r="F19" s="1061">
        <v>-20000</v>
      </c>
    </row>
    <row r="20" spans="1:6">
      <c r="A20" s="454" t="s">
        <v>1769</v>
      </c>
      <c r="B20" s="454" t="s">
        <v>308</v>
      </c>
      <c r="C20" s="454" t="s">
        <v>1770</v>
      </c>
      <c r="D20" s="457"/>
      <c r="E20" s="457"/>
      <c r="F20" s="457"/>
    </row>
    <row r="21" spans="1:6">
      <c r="A21" s="454" t="s">
        <v>2395</v>
      </c>
      <c r="B21" s="454" t="s">
        <v>308</v>
      </c>
      <c r="C21" s="454" t="s">
        <v>1837</v>
      </c>
      <c r="D21" s="457">
        <v>-100448</v>
      </c>
      <c r="E21" s="457">
        <v>-100449</v>
      </c>
      <c r="F21" s="457">
        <v>-100449</v>
      </c>
    </row>
    <row r="22" spans="1:6">
      <c r="A22" s="454" t="s">
        <v>1794</v>
      </c>
      <c r="B22" s="454" t="s">
        <v>308</v>
      </c>
      <c r="C22" s="454" t="s">
        <v>1834</v>
      </c>
      <c r="D22" s="457"/>
      <c r="E22" s="457"/>
      <c r="F22" s="457"/>
    </row>
    <row r="23" spans="1:6">
      <c r="A23" s="454" t="s">
        <v>124</v>
      </c>
      <c r="B23" s="454" t="s">
        <v>308</v>
      </c>
      <c r="C23" s="454" t="s">
        <v>1836</v>
      </c>
      <c r="D23" s="457">
        <v>-7198</v>
      </c>
      <c r="E23" s="457">
        <v>-7198</v>
      </c>
      <c r="F23" s="457">
        <v>-7198</v>
      </c>
    </row>
    <row r="24" spans="1:6">
      <c r="A24" s="454" t="s">
        <v>1482</v>
      </c>
      <c r="B24" s="454" t="s">
        <v>20</v>
      </c>
      <c r="C24" s="454" t="s">
        <v>1838</v>
      </c>
      <c r="D24" s="457">
        <v>-18235</v>
      </c>
      <c r="E24" s="457">
        <v>-27390</v>
      </c>
      <c r="F24" s="457">
        <v>-27390</v>
      </c>
    </row>
    <row r="25" spans="1:6">
      <c r="A25" s="454" t="s">
        <v>2379</v>
      </c>
      <c r="C25" s="454" t="s">
        <v>2380</v>
      </c>
      <c r="D25" s="457">
        <v>-64248</v>
      </c>
      <c r="E25" s="457"/>
      <c r="F25" s="457"/>
    </row>
    <row r="26" spans="1:6">
      <c r="A26" s="454" t="s">
        <v>1494</v>
      </c>
      <c r="B26" s="454" t="s">
        <v>20</v>
      </c>
      <c r="C26" s="454" t="s">
        <v>1493</v>
      </c>
      <c r="D26" s="457">
        <v>-38930</v>
      </c>
      <c r="E26" s="457">
        <v>-80000</v>
      </c>
      <c r="F26" s="457">
        <v>-80000</v>
      </c>
    </row>
    <row r="27" spans="1:6" ht="13.5" thickBot="1">
      <c r="D27" s="860">
        <f>SUM(D18:D26)</f>
        <v>-281542</v>
      </c>
      <c r="E27" s="860">
        <f t="shared" ref="E27:F27" si="2">SUM(E18:E26)</f>
        <v>-235037</v>
      </c>
      <c r="F27" s="860">
        <f t="shared" si="2"/>
        <v>-235037</v>
      </c>
    </row>
    <row r="28" spans="1:6" ht="13.5" thickTop="1">
      <c r="D28" s="457"/>
      <c r="E28" s="457"/>
      <c r="F28" s="457"/>
    </row>
    <row r="29" spans="1:6">
      <c r="D29" s="457"/>
      <c r="E29" s="457"/>
      <c r="F29" s="457"/>
    </row>
    <row r="30" spans="1:6">
      <c r="A30" s="454" t="s">
        <v>379</v>
      </c>
      <c r="B30" s="454" t="s">
        <v>17</v>
      </c>
      <c r="C30" s="454" t="s">
        <v>380</v>
      </c>
      <c r="D30" s="457"/>
      <c r="E30" s="457"/>
      <c r="F30" s="457"/>
    </row>
    <row r="31" spans="1:6" ht="13.5" thickBot="1">
      <c r="D31" s="860">
        <f>SUM(D30)</f>
        <v>0</v>
      </c>
      <c r="E31" s="860">
        <f t="shared" ref="E31:F31" si="3">SUM(E30)</f>
        <v>0</v>
      </c>
      <c r="F31" s="860">
        <f t="shared" si="3"/>
        <v>0</v>
      </c>
    </row>
    <row r="32" spans="1:6" ht="13.5" thickTop="1">
      <c r="D32" s="457"/>
      <c r="E32" s="457"/>
      <c r="F32" s="457"/>
    </row>
    <row r="33" spans="1:6">
      <c r="A33" s="454" t="s">
        <v>1771</v>
      </c>
      <c r="B33" s="454" t="s">
        <v>1772</v>
      </c>
      <c r="C33" s="454" t="s">
        <v>381</v>
      </c>
      <c r="D33" s="457"/>
      <c r="E33" s="457"/>
      <c r="F33" s="457"/>
    </row>
    <row r="34" spans="1:6">
      <c r="A34" s="454" t="s">
        <v>2391</v>
      </c>
      <c r="B34" s="454" t="s">
        <v>22</v>
      </c>
      <c r="C34" s="454" t="s">
        <v>22</v>
      </c>
      <c r="D34" s="457">
        <v>-3000000</v>
      </c>
      <c r="E34" s="457">
        <v>-3000000</v>
      </c>
      <c r="F34" s="457">
        <v>-3000000</v>
      </c>
    </row>
    <row r="35" spans="1:6">
      <c r="A35" s="454" t="s">
        <v>2392</v>
      </c>
      <c r="B35" s="454" t="s">
        <v>21</v>
      </c>
      <c r="C35" s="454" t="s">
        <v>165</v>
      </c>
      <c r="D35" s="457">
        <v>-24045000</v>
      </c>
      <c r="E35" s="457">
        <v>-24045000</v>
      </c>
      <c r="F35" s="457">
        <v>-24045000</v>
      </c>
    </row>
    <row r="36" spans="1:6">
      <c r="A36" s="454" t="s">
        <v>2393</v>
      </c>
      <c r="B36" s="454" t="s">
        <v>23</v>
      </c>
      <c r="C36" s="454" t="s">
        <v>23</v>
      </c>
      <c r="D36" s="457">
        <v>-750000</v>
      </c>
      <c r="E36" s="457">
        <v>-750000</v>
      </c>
      <c r="F36" s="457">
        <v>-750000</v>
      </c>
    </row>
    <row r="37" spans="1:6" ht="13.5" thickBot="1">
      <c r="D37" s="860">
        <f>SUM(D33:D36)</f>
        <v>-27795000</v>
      </c>
      <c r="E37" s="860">
        <f t="shared" ref="E37:F37" si="4">SUM(E33:E36)</f>
        <v>-27795000</v>
      </c>
      <c r="F37" s="860">
        <f t="shared" si="4"/>
        <v>-27795000</v>
      </c>
    </row>
    <row r="38" spans="1:6" ht="13.5" thickTop="1">
      <c r="D38" s="457"/>
      <c r="E38" s="457"/>
      <c r="F38" s="457"/>
    </row>
    <row r="39" spans="1:6">
      <c r="A39" s="454" t="s">
        <v>2364</v>
      </c>
      <c r="B39" s="454" t="s">
        <v>1105</v>
      </c>
      <c r="C39" s="454" t="s">
        <v>1790</v>
      </c>
      <c r="D39" s="457">
        <v>-10101000</v>
      </c>
      <c r="E39" s="457">
        <v>-10010000</v>
      </c>
      <c r="F39" s="457">
        <v>-10010000</v>
      </c>
    </row>
    <row r="40" spans="1:6">
      <c r="A40" s="454" t="s">
        <v>1789</v>
      </c>
      <c r="B40" s="454" t="s">
        <v>1790</v>
      </c>
      <c r="C40" s="454" t="s">
        <v>1835</v>
      </c>
      <c r="D40" s="457"/>
      <c r="E40" s="457"/>
      <c r="F40" s="457"/>
    </row>
    <row r="41" spans="1:6" ht="13.5" thickBot="1">
      <c r="D41" s="860">
        <f>SUM(D39:D40)</f>
        <v>-10101000</v>
      </c>
      <c r="E41" s="860">
        <f t="shared" ref="E41:F41" si="5">SUM(E39:E40)</f>
        <v>-10010000</v>
      </c>
      <c r="F41" s="860">
        <f t="shared" si="5"/>
        <v>-10010000</v>
      </c>
    </row>
    <row r="42" spans="1:6" ht="13.5" thickTop="1">
      <c r="D42" s="457"/>
      <c r="E42" s="457"/>
      <c r="F42" s="457"/>
    </row>
    <row r="43" spans="1:6">
      <c r="D43" s="457"/>
      <c r="E43" s="457"/>
      <c r="F43" s="457"/>
    </row>
    <row r="44" spans="1:6">
      <c r="A44" s="454" t="s">
        <v>1825</v>
      </c>
      <c r="B44" s="454" t="s">
        <v>1105</v>
      </c>
      <c r="C44" s="454" t="s">
        <v>1829</v>
      </c>
      <c r="D44" s="457"/>
      <c r="E44" s="457"/>
      <c r="F44" s="457"/>
    </row>
    <row r="45" spans="1:6" ht="13.5" thickBot="1">
      <c r="D45" s="860">
        <f>SUM(D44)</f>
        <v>0</v>
      </c>
      <c r="E45" s="860">
        <f t="shared" ref="E45:F45" si="6">SUM(E44)</f>
        <v>0</v>
      </c>
      <c r="F45" s="860">
        <f t="shared" si="6"/>
        <v>0</v>
      </c>
    </row>
    <row r="46" spans="1:6" ht="13.5" thickTop="1">
      <c r="D46" s="457"/>
      <c r="E46" s="457"/>
      <c r="F46" s="457"/>
    </row>
    <row r="47" spans="1:6">
      <c r="D47" s="457"/>
      <c r="E47" s="457"/>
      <c r="F47" s="457"/>
    </row>
    <row r="48" spans="1:6">
      <c r="A48" s="454" t="s">
        <v>162</v>
      </c>
      <c r="B48" s="454" t="s">
        <v>18</v>
      </c>
      <c r="C48" s="454" t="s">
        <v>163</v>
      </c>
      <c r="D48" s="457">
        <v>0</v>
      </c>
      <c r="E48" s="457">
        <v>-27986</v>
      </c>
      <c r="F48" s="457">
        <v>-27986</v>
      </c>
    </row>
    <row r="49" spans="1:6" ht="13.5" thickBot="1">
      <c r="D49" s="860">
        <f>SUM(D48)</f>
        <v>0</v>
      </c>
      <c r="E49" s="860">
        <f t="shared" ref="E49:F49" si="7">SUM(E48)</f>
        <v>-27986</v>
      </c>
      <c r="F49" s="860">
        <f t="shared" si="7"/>
        <v>-27986</v>
      </c>
    </row>
    <row r="50" spans="1:6" ht="13.5" thickTop="1">
      <c r="D50" s="457"/>
      <c r="E50" s="457"/>
      <c r="F50" s="457"/>
    </row>
    <row r="51" spans="1:6">
      <c r="A51" s="454" t="s">
        <v>164</v>
      </c>
      <c r="B51" s="454" t="s">
        <v>19</v>
      </c>
      <c r="C51" s="454" t="s">
        <v>163</v>
      </c>
      <c r="D51" s="457">
        <v>-838587</v>
      </c>
      <c r="E51" s="457">
        <v>-1403564</v>
      </c>
      <c r="F51" s="457">
        <v>-1403564</v>
      </c>
    </row>
    <row r="52" spans="1:6" ht="13.5" thickBot="1">
      <c r="D52" s="860">
        <f>SUM(D51)</f>
        <v>-838587</v>
      </c>
      <c r="E52" s="860">
        <f t="shared" ref="E52:F52" si="8">SUM(E51)</f>
        <v>-1403564</v>
      </c>
      <c r="F52" s="860">
        <f t="shared" si="8"/>
        <v>-1403564</v>
      </c>
    </row>
    <row r="53" spans="1:6" ht="13.5" thickTop="1">
      <c r="D53" s="457"/>
      <c r="E53" s="457"/>
      <c r="F53" s="457"/>
    </row>
    <row r="54" spans="1:6">
      <c r="A54" s="454" t="s">
        <v>1406</v>
      </c>
      <c r="B54" s="454" t="s">
        <v>308</v>
      </c>
      <c r="C54" s="454" t="s">
        <v>1839</v>
      </c>
      <c r="D54" s="457">
        <v>-17808709</v>
      </c>
      <c r="E54" s="457">
        <v>-12150001</v>
      </c>
      <c r="F54" s="457">
        <v>-12150001</v>
      </c>
    </row>
    <row r="55" spans="1:6" ht="13.5" thickBot="1">
      <c r="D55" s="860">
        <f>SUM(D54)</f>
        <v>-17808709</v>
      </c>
      <c r="E55" s="860">
        <f t="shared" ref="E55:F55" si="9">SUM(E54)</f>
        <v>-12150001</v>
      </c>
      <c r="F55" s="860">
        <f t="shared" si="9"/>
        <v>-12150001</v>
      </c>
    </row>
    <row r="56" spans="1:6" ht="13.5" thickTop="1">
      <c r="D56" s="457"/>
      <c r="E56" s="457"/>
      <c r="F56" s="457"/>
    </row>
    <row r="57" spans="1:6">
      <c r="A57" s="454" t="s">
        <v>886</v>
      </c>
      <c r="B57" s="454" t="s">
        <v>24</v>
      </c>
      <c r="C57" s="454" t="s">
        <v>1306</v>
      </c>
      <c r="D57" s="457">
        <v>-5036296</v>
      </c>
      <c r="E57" s="457">
        <v>-6629126</v>
      </c>
      <c r="F57" s="457">
        <v>-6629126</v>
      </c>
    </row>
    <row r="58" spans="1:6" ht="13.5" thickBot="1">
      <c r="D58" s="860">
        <f>SUM(D57)</f>
        <v>-5036296</v>
      </c>
      <c r="E58" s="860">
        <f t="shared" ref="E58:F58" si="10">SUM(E57)</f>
        <v>-6629126</v>
      </c>
      <c r="F58" s="860">
        <f t="shared" si="10"/>
        <v>-6629126</v>
      </c>
    </row>
    <row r="59" spans="1:6" ht="13.5" thickTop="1">
      <c r="D59" s="457"/>
      <c r="E59" s="457"/>
      <c r="F59" s="457"/>
    </row>
    <row r="60" spans="1:6">
      <c r="A60" s="454" t="s">
        <v>852</v>
      </c>
      <c r="B60" s="454" t="s">
        <v>761</v>
      </c>
      <c r="C60" s="454" t="s">
        <v>742</v>
      </c>
      <c r="D60" s="457"/>
      <c r="E60" s="457"/>
      <c r="F60" s="457"/>
    </row>
    <row r="61" spans="1:6">
      <c r="A61" s="454" t="s">
        <v>1788</v>
      </c>
      <c r="B61" s="454" t="s">
        <v>761</v>
      </c>
      <c r="C61" s="454" t="s">
        <v>1840</v>
      </c>
      <c r="D61" s="457">
        <v>-328918</v>
      </c>
      <c r="E61" s="457">
        <v>-237986</v>
      </c>
      <c r="F61" s="457">
        <v>-237986</v>
      </c>
    </row>
    <row r="62" spans="1:6">
      <c r="A62" s="454" t="s">
        <v>1407</v>
      </c>
      <c r="B62" s="454" t="s">
        <v>761</v>
      </c>
      <c r="C62" s="454" t="s">
        <v>1840</v>
      </c>
      <c r="D62" s="457"/>
      <c r="E62" s="457"/>
      <c r="F62" s="457"/>
    </row>
    <row r="63" spans="1:6">
      <c r="A63" s="454" t="s">
        <v>1792</v>
      </c>
      <c r="B63" s="454" t="s">
        <v>761</v>
      </c>
      <c r="C63" s="454" t="s">
        <v>742</v>
      </c>
      <c r="D63" s="457">
        <v>-1107</v>
      </c>
      <c r="E63" s="457">
        <v>-35000</v>
      </c>
      <c r="F63" s="457">
        <v>-35000</v>
      </c>
    </row>
    <row r="64" spans="1:6" ht="13.5" thickBot="1">
      <c r="D64" s="860">
        <f>SUM(D60:D63)</f>
        <v>-330025</v>
      </c>
      <c r="E64" s="860">
        <f t="shared" ref="E64:F64" si="11">SUM(E60:E63)</f>
        <v>-272986</v>
      </c>
      <c r="F64" s="860">
        <f t="shared" si="11"/>
        <v>-272986</v>
      </c>
    </row>
    <row r="65" spans="1:6" ht="13.5" thickTop="1">
      <c r="D65" s="457"/>
      <c r="E65" s="457"/>
      <c r="F65" s="457"/>
    </row>
    <row r="66" spans="1:6">
      <c r="D66" s="457"/>
      <c r="E66" s="457"/>
      <c r="F66" s="457"/>
    </row>
    <row r="67" spans="1:6">
      <c r="A67" s="454" t="s">
        <v>221</v>
      </c>
      <c r="B67" s="454" t="s">
        <v>793</v>
      </c>
      <c r="C67" s="454" t="s">
        <v>873</v>
      </c>
      <c r="D67" s="457">
        <v>-30072248</v>
      </c>
      <c r="E67" s="457">
        <v>-38187393</v>
      </c>
      <c r="F67" s="457">
        <f>-38187393</f>
        <v>-38187393</v>
      </c>
    </row>
    <row r="68" spans="1:6">
      <c r="A68" s="454" t="s">
        <v>222</v>
      </c>
      <c r="B68" s="454" t="s">
        <v>793</v>
      </c>
      <c r="C68" s="454" t="s">
        <v>873</v>
      </c>
      <c r="D68" s="457">
        <v>-230039</v>
      </c>
      <c r="E68" s="457">
        <v>-65000</v>
      </c>
      <c r="F68" s="457">
        <v>-65000</v>
      </c>
    </row>
    <row r="69" spans="1:6">
      <c r="A69" s="454" t="s">
        <v>223</v>
      </c>
      <c r="B69" s="454" t="s">
        <v>793</v>
      </c>
      <c r="C69" s="454" t="s">
        <v>873</v>
      </c>
      <c r="D69" s="457">
        <v>-191637</v>
      </c>
      <c r="E69" s="457">
        <v>-70000</v>
      </c>
      <c r="F69" s="457">
        <v>-70000</v>
      </c>
    </row>
    <row r="70" spans="1:6">
      <c r="A70" s="454" t="s">
        <v>224</v>
      </c>
      <c r="B70" s="454" t="s">
        <v>793</v>
      </c>
      <c r="C70" s="454" t="s">
        <v>873</v>
      </c>
      <c r="D70" s="457">
        <v>-14373452</v>
      </c>
      <c r="E70" s="457">
        <v>-14373452</v>
      </c>
      <c r="F70" s="457">
        <v>-14373452</v>
      </c>
    </row>
    <row r="71" spans="1:6">
      <c r="A71" s="454" t="s">
        <v>1793</v>
      </c>
      <c r="B71" s="454" t="s">
        <v>793</v>
      </c>
      <c r="C71" s="454" t="s">
        <v>1832</v>
      </c>
      <c r="D71" s="457">
        <v>-1725401</v>
      </c>
      <c r="E71" s="457">
        <v>-1250000</v>
      </c>
      <c r="F71" s="457">
        <v>-1250000</v>
      </c>
    </row>
    <row r="72" spans="1:6">
      <c r="A72" s="454" t="s">
        <v>1496</v>
      </c>
      <c r="B72" s="454" t="s">
        <v>793</v>
      </c>
      <c r="C72" s="454" t="s">
        <v>1833</v>
      </c>
      <c r="D72" s="457">
        <v>-1269764</v>
      </c>
      <c r="E72" s="457">
        <v>-2791850</v>
      </c>
      <c r="F72" s="457">
        <v>-2791850</v>
      </c>
    </row>
    <row r="73" spans="1:6">
      <c r="A73" s="454" t="s">
        <v>1497</v>
      </c>
      <c r="B73" s="454" t="s">
        <v>793</v>
      </c>
      <c r="C73" s="454" t="s">
        <v>1833</v>
      </c>
      <c r="D73" s="457">
        <v>-2901</v>
      </c>
      <c r="E73" s="457">
        <v>-20650</v>
      </c>
      <c r="F73" s="457">
        <v>-20650</v>
      </c>
    </row>
    <row r="74" spans="1:6" ht="13.5" thickBot="1">
      <c r="D74" s="860">
        <f>SUM(D67:D73)</f>
        <v>-47865442</v>
      </c>
      <c r="E74" s="860">
        <f t="shared" ref="E74:F74" si="12">SUM(E67:E73)</f>
        <v>-56758345</v>
      </c>
      <c r="F74" s="860">
        <f t="shared" si="12"/>
        <v>-56758345</v>
      </c>
    </row>
    <row r="75" spans="1:6" ht="13.5" thickTop="1">
      <c r="D75" s="457"/>
      <c r="E75" s="457"/>
      <c r="F75" s="457"/>
    </row>
    <row r="76" spans="1:6">
      <c r="A76" s="454" t="s">
        <v>1830</v>
      </c>
      <c r="B76" s="454" t="s">
        <v>793</v>
      </c>
      <c r="C76" s="454" t="s">
        <v>1831</v>
      </c>
      <c r="D76" s="457"/>
      <c r="E76" s="457"/>
      <c r="F76" s="457"/>
    </row>
    <row r="77" spans="1:6" ht="13.5" thickBot="1">
      <c r="D77" s="860">
        <f>SUM(D76)</f>
        <v>0</v>
      </c>
      <c r="E77" s="860">
        <f t="shared" ref="E77:F77" si="13">SUM(E76)</f>
        <v>0</v>
      </c>
      <c r="F77" s="860">
        <f t="shared" si="13"/>
        <v>0</v>
      </c>
    </row>
    <row r="78" spans="1:6" ht="13.5" thickTop="1">
      <c r="D78" s="457"/>
      <c r="E78" s="457"/>
      <c r="F78" s="457"/>
    </row>
    <row r="79" spans="1:6">
      <c r="A79" s="454" t="s">
        <v>924</v>
      </c>
      <c r="B79" s="454" t="s">
        <v>25</v>
      </c>
      <c r="C79" s="454" t="s">
        <v>925</v>
      </c>
      <c r="D79" s="457">
        <v>-1616846</v>
      </c>
      <c r="E79" s="457">
        <v>-1485284</v>
      </c>
      <c r="F79" s="457">
        <v>-1485284</v>
      </c>
    </row>
    <row r="80" spans="1:6" ht="13.5" thickBot="1">
      <c r="D80" s="860">
        <f>SUM(D79)</f>
        <v>-1616846</v>
      </c>
      <c r="E80" s="860">
        <f t="shared" ref="E80:F80" si="14">SUM(E79)</f>
        <v>-1485284</v>
      </c>
      <c r="F80" s="860">
        <f t="shared" si="14"/>
        <v>-1485284</v>
      </c>
    </row>
    <row r="81" spans="1:6" ht="13.5" thickTop="1">
      <c r="D81" s="457"/>
      <c r="E81" s="457"/>
      <c r="F81" s="457"/>
    </row>
    <row r="82" spans="1:6">
      <c r="A82" s="454" t="s">
        <v>926</v>
      </c>
      <c r="B82" s="454" t="s">
        <v>26</v>
      </c>
      <c r="C82" s="454" t="s">
        <v>784</v>
      </c>
      <c r="D82" s="457">
        <v>-12000000</v>
      </c>
      <c r="E82" s="457">
        <v>-2000000</v>
      </c>
      <c r="F82" s="457">
        <v>-2000000</v>
      </c>
    </row>
    <row r="83" spans="1:6" ht="13.5" thickBot="1">
      <c r="D83" s="860">
        <f>SUM(D82)</f>
        <v>-12000000</v>
      </c>
      <c r="E83" s="860">
        <f t="shared" ref="E83:F83" si="15">SUM(E82)</f>
        <v>-2000000</v>
      </c>
      <c r="F83" s="860">
        <f t="shared" si="15"/>
        <v>-2000000</v>
      </c>
    </row>
    <row r="84" spans="1:6" ht="13.5" thickTop="1">
      <c r="D84" s="457"/>
      <c r="E84" s="457"/>
      <c r="F84" s="457"/>
    </row>
    <row r="85" spans="1:6">
      <c r="D85" s="457">
        <f>SUM(D6:D83)/2</f>
        <v>-134951470</v>
      </c>
      <c r="E85" s="457">
        <f>SUM(E6:E83)/2</f>
        <v>-130043829</v>
      </c>
      <c r="F85" s="457">
        <f>SUM(F6:F83)/2</f>
        <v>-130043829</v>
      </c>
    </row>
    <row r="86" spans="1:6">
      <c r="D86" s="457"/>
      <c r="E86" s="457"/>
      <c r="F86" s="457"/>
    </row>
    <row r="87" spans="1:6">
      <c r="D87" s="457"/>
      <c r="E87" s="457"/>
      <c r="F87" s="457"/>
    </row>
    <row r="88" spans="1:6">
      <c r="A88" s="454" t="s">
        <v>2385</v>
      </c>
      <c r="B88" s="454" t="s">
        <v>958</v>
      </c>
      <c r="C88" s="454" t="s">
        <v>59</v>
      </c>
      <c r="D88" s="457"/>
      <c r="E88" s="457"/>
      <c r="F88" s="454">
        <v>54148</v>
      </c>
    </row>
    <row r="89" spans="1:6">
      <c r="A89" s="454" t="s">
        <v>383</v>
      </c>
      <c r="B89" s="454" t="s">
        <v>958</v>
      </c>
      <c r="C89" s="454" t="s">
        <v>1302</v>
      </c>
      <c r="D89" s="454">
        <v>0</v>
      </c>
      <c r="E89" s="454">
        <v>0</v>
      </c>
      <c r="F89" s="212">
        <v>2880</v>
      </c>
    </row>
    <row r="90" spans="1:6">
      <c r="A90" s="454" t="s">
        <v>1774</v>
      </c>
      <c r="B90" s="454" t="s">
        <v>958</v>
      </c>
      <c r="C90" s="454" t="s">
        <v>1813</v>
      </c>
      <c r="D90" s="454">
        <v>0</v>
      </c>
      <c r="E90" s="454">
        <v>0</v>
      </c>
      <c r="F90" s="212">
        <v>89738</v>
      </c>
    </row>
    <row r="91" spans="1:6">
      <c r="A91" s="454" t="s">
        <v>384</v>
      </c>
      <c r="C91" s="454" t="s">
        <v>1815</v>
      </c>
      <c r="F91" s="212">
        <v>3800</v>
      </c>
    </row>
    <row r="92" spans="1:6">
      <c r="A92" s="454" t="s">
        <v>58</v>
      </c>
      <c r="B92" s="454" t="s">
        <v>958</v>
      </c>
      <c r="C92" s="454" t="s">
        <v>59</v>
      </c>
      <c r="D92" s="454">
        <v>2616502</v>
      </c>
      <c r="E92" s="454">
        <v>2616502</v>
      </c>
      <c r="F92" s="212">
        <v>1698882</v>
      </c>
    </row>
    <row r="93" spans="1:6">
      <c r="A93" s="454" t="s">
        <v>60</v>
      </c>
      <c r="B93" s="454" t="s">
        <v>958</v>
      </c>
      <c r="C93" s="454" t="s">
        <v>61</v>
      </c>
      <c r="D93" s="454">
        <v>0</v>
      </c>
      <c r="E93" s="454">
        <v>0</v>
      </c>
      <c r="F93" s="212">
        <v>171843</v>
      </c>
    </row>
    <row r="94" spans="1:6">
      <c r="A94" s="454" t="s">
        <v>62</v>
      </c>
      <c r="B94" s="454" t="s">
        <v>958</v>
      </c>
      <c r="C94" s="454" t="s">
        <v>51</v>
      </c>
      <c r="D94" s="454">
        <v>149264</v>
      </c>
      <c r="E94" s="454">
        <v>149264</v>
      </c>
      <c r="F94" s="212">
        <v>149913</v>
      </c>
    </row>
    <row r="95" spans="1:6">
      <c r="A95" s="454" t="s">
        <v>64</v>
      </c>
      <c r="B95" s="454" t="s">
        <v>958</v>
      </c>
      <c r="C95" s="454" t="s">
        <v>517</v>
      </c>
      <c r="D95" s="454">
        <v>32433</v>
      </c>
      <c r="E95" s="454">
        <v>32433</v>
      </c>
      <c r="F95" s="212">
        <v>9000</v>
      </c>
    </row>
    <row r="96" spans="1:6">
      <c r="A96" s="454" t="s">
        <v>65</v>
      </c>
      <c r="B96" s="454" t="s">
        <v>958</v>
      </c>
      <c r="C96" s="454" t="s">
        <v>66</v>
      </c>
      <c r="D96" s="454">
        <v>247272</v>
      </c>
      <c r="E96" s="454">
        <v>247272</v>
      </c>
      <c r="F96" s="212">
        <v>175045</v>
      </c>
    </row>
    <row r="97" spans="1:6">
      <c r="A97" s="454" t="s">
        <v>67</v>
      </c>
      <c r="B97" s="454" t="s">
        <v>958</v>
      </c>
      <c r="C97" s="454" t="s">
        <v>68</v>
      </c>
      <c r="D97" s="454">
        <v>182420</v>
      </c>
      <c r="E97" s="454">
        <v>182420</v>
      </c>
      <c r="F97" s="212">
        <v>379678</v>
      </c>
    </row>
    <row r="98" spans="1:6">
      <c r="A98" s="454" t="s">
        <v>69</v>
      </c>
      <c r="B98" s="454" t="s">
        <v>958</v>
      </c>
      <c r="C98" s="454" t="s">
        <v>1813</v>
      </c>
      <c r="D98" s="454">
        <v>283201</v>
      </c>
      <c r="E98" s="454">
        <v>283201</v>
      </c>
      <c r="F98" s="212">
        <v>52421</v>
      </c>
    </row>
    <row r="99" spans="1:6">
      <c r="A99" s="454" t="s">
        <v>70</v>
      </c>
      <c r="B99" s="454" t="s">
        <v>958</v>
      </c>
      <c r="C99" s="454" t="s">
        <v>1814</v>
      </c>
      <c r="D99" s="454">
        <v>431328</v>
      </c>
      <c r="E99" s="454">
        <v>431328</v>
      </c>
      <c r="F99" s="212">
        <v>257571</v>
      </c>
    </row>
    <row r="100" spans="1:6">
      <c r="A100" s="454" t="s">
        <v>71</v>
      </c>
      <c r="B100" s="454" t="s">
        <v>958</v>
      </c>
      <c r="C100" s="454" t="s">
        <v>1815</v>
      </c>
      <c r="D100" s="454">
        <v>19914</v>
      </c>
      <c r="E100" s="454">
        <v>19914</v>
      </c>
      <c r="F100" s="212">
        <v>14948</v>
      </c>
    </row>
    <row r="101" spans="1:6">
      <c r="A101" s="454" t="s">
        <v>72</v>
      </c>
      <c r="B101" s="454" t="s">
        <v>958</v>
      </c>
      <c r="C101" s="454" t="s">
        <v>1816</v>
      </c>
      <c r="D101" s="454">
        <v>30168</v>
      </c>
      <c r="E101" s="454">
        <v>30168</v>
      </c>
      <c r="F101" s="212">
        <v>14994</v>
      </c>
    </row>
    <row r="102" spans="1:6">
      <c r="A102" s="454" t="s">
        <v>73</v>
      </c>
      <c r="B102" s="454" t="s">
        <v>958</v>
      </c>
      <c r="C102" s="454" t="s">
        <v>1114</v>
      </c>
      <c r="D102" s="454">
        <v>0</v>
      </c>
      <c r="E102" s="454">
        <v>0</v>
      </c>
      <c r="F102" s="212">
        <v>612</v>
      </c>
    </row>
    <row r="103" spans="1:6">
      <c r="A103" s="454" t="s">
        <v>2356</v>
      </c>
      <c r="B103" s="454" t="s">
        <v>958</v>
      </c>
      <c r="C103" s="454" t="s">
        <v>59</v>
      </c>
      <c r="D103" s="454">
        <v>424715</v>
      </c>
      <c r="E103" s="454">
        <v>424715</v>
      </c>
      <c r="F103" s="212">
        <v>0</v>
      </c>
    </row>
    <row r="104" spans="1:6">
      <c r="A104" s="454" t="s">
        <v>2357</v>
      </c>
      <c r="B104" s="454" t="s">
        <v>958</v>
      </c>
      <c r="C104" s="454" t="s">
        <v>66</v>
      </c>
      <c r="D104" s="454">
        <v>102600</v>
      </c>
      <c r="E104" s="454">
        <v>102600</v>
      </c>
      <c r="F104" s="212">
        <v>0</v>
      </c>
    </row>
    <row r="105" spans="1:6">
      <c r="A105" s="454" t="s">
        <v>89</v>
      </c>
      <c r="B105" s="454" t="s">
        <v>958</v>
      </c>
      <c r="C105" s="454" t="s">
        <v>59</v>
      </c>
      <c r="D105" s="454">
        <v>2910241</v>
      </c>
      <c r="E105" s="454">
        <v>2910241</v>
      </c>
      <c r="F105" s="212">
        <v>1164281</v>
      </c>
    </row>
    <row r="106" spans="1:6">
      <c r="A106" s="454" t="s">
        <v>90</v>
      </c>
      <c r="B106" s="454" t="s">
        <v>958</v>
      </c>
      <c r="C106" s="454" t="s">
        <v>61</v>
      </c>
      <c r="D106" s="454">
        <v>0</v>
      </c>
      <c r="E106" s="454">
        <v>0</v>
      </c>
      <c r="F106" s="212">
        <v>40295</v>
      </c>
    </row>
    <row r="107" spans="1:6">
      <c r="A107" s="454" t="s">
        <v>91</v>
      </c>
      <c r="B107" s="454" t="s">
        <v>958</v>
      </c>
      <c r="C107" s="454" t="s">
        <v>51</v>
      </c>
      <c r="D107" s="454">
        <v>206508</v>
      </c>
      <c r="E107" s="454">
        <v>206508</v>
      </c>
      <c r="F107" s="212">
        <v>89914</v>
      </c>
    </row>
    <row r="108" spans="1:6">
      <c r="A108" s="454" t="s">
        <v>92</v>
      </c>
      <c r="B108" s="454" t="s">
        <v>958</v>
      </c>
      <c r="C108" s="454" t="s">
        <v>364</v>
      </c>
      <c r="D108" s="454">
        <v>0</v>
      </c>
      <c r="E108" s="454">
        <v>0</v>
      </c>
      <c r="F108" s="212">
        <v>259193</v>
      </c>
    </row>
    <row r="109" spans="1:6">
      <c r="A109" s="454" t="s">
        <v>93</v>
      </c>
      <c r="B109" s="454" t="s">
        <v>958</v>
      </c>
      <c r="C109" s="454" t="s">
        <v>517</v>
      </c>
      <c r="D109" s="454">
        <v>88037</v>
      </c>
      <c r="E109" s="454">
        <v>88037</v>
      </c>
      <c r="F109" s="212">
        <v>16918</v>
      </c>
    </row>
    <row r="110" spans="1:6">
      <c r="A110" s="454" t="s">
        <v>94</v>
      </c>
      <c r="B110" s="454" t="s">
        <v>958</v>
      </c>
      <c r="C110" s="454" t="s">
        <v>66</v>
      </c>
      <c r="D110" s="454">
        <v>238788</v>
      </c>
      <c r="E110" s="454">
        <v>238788</v>
      </c>
      <c r="F110" s="212">
        <v>208428</v>
      </c>
    </row>
    <row r="111" spans="1:6">
      <c r="A111" s="454" t="s">
        <v>95</v>
      </c>
      <c r="B111" s="454" t="s">
        <v>958</v>
      </c>
      <c r="C111" s="454" t="s">
        <v>96</v>
      </c>
      <c r="D111" s="454">
        <v>0</v>
      </c>
      <c r="E111" s="454">
        <v>0</v>
      </c>
      <c r="F111" s="212">
        <v>32292</v>
      </c>
    </row>
    <row r="112" spans="1:6">
      <c r="A112" s="454" t="s">
        <v>97</v>
      </c>
      <c r="B112" s="454" t="s">
        <v>958</v>
      </c>
      <c r="C112" s="454" t="s">
        <v>1813</v>
      </c>
      <c r="D112" s="454">
        <v>330399</v>
      </c>
      <c r="E112" s="454">
        <v>330399</v>
      </c>
      <c r="F112" s="212">
        <v>106595</v>
      </c>
    </row>
    <row r="113" spans="1:6">
      <c r="A113" s="454" t="s">
        <v>98</v>
      </c>
      <c r="B113" s="454" t="s">
        <v>958</v>
      </c>
      <c r="C113" s="454" t="s">
        <v>1814</v>
      </c>
      <c r="D113" s="454">
        <v>545180</v>
      </c>
      <c r="E113" s="454">
        <v>545180</v>
      </c>
      <c r="F113" s="212">
        <v>251658</v>
      </c>
    </row>
    <row r="114" spans="1:6">
      <c r="A114" s="454" t="s">
        <v>99</v>
      </c>
      <c r="B114" s="454" t="s">
        <v>958</v>
      </c>
      <c r="C114" s="454" t="s">
        <v>1815</v>
      </c>
      <c r="D114" s="454">
        <v>24781</v>
      </c>
      <c r="E114" s="454">
        <v>24781</v>
      </c>
      <c r="F114" s="212">
        <v>11573</v>
      </c>
    </row>
    <row r="115" spans="1:6">
      <c r="A115" s="454" t="s">
        <v>100</v>
      </c>
      <c r="B115" s="454" t="s">
        <v>958</v>
      </c>
      <c r="C115" s="454" t="s">
        <v>1816</v>
      </c>
      <c r="D115" s="454">
        <v>37915</v>
      </c>
      <c r="E115" s="454">
        <v>37915</v>
      </c>
      <c r="F115" s="212">
        <v>17105</v>
      </c>
    </row>
    <row r="116" spans="1:6">
      <c r="A116" s="454" t="s">
        <v>101</v>
      </c>
      <c r="B116" s="454" t="s">
        <v>958</v>
      </c>
      <c r="C116" s="454" t="s">
        <v>1114</v>
      </c>
      <c r="D116" s="454">
        <v>904</v>
      </c>
      <c r="E116" s="454">
        <v>904</v>
      </c>
      <c r="F116" s="212">
        <v>608</v>
      </c>
    </row>
    <row r="117" spans="1:6">
      <c r="A117" s="454" t="s">
        <v>125</v>
      </c>
      <c r="B117" s="454" t="s">
        <v>958</v>
      </c>
      <c r="C117" s="454" t="s">
        <v>59</v>
      </c>
      <c r="D117" s="454">
        <v>231937</v>
      </c>
      <c r="E117" s="454">
        <v>231937</v>
      </c>
      <c r="F117" s="212">
        <v>109882</v>
      </c>
    </row>
    <row r="118" spans="1:6">
      <c r="A118" s="454" t="s">
        <v>126</v>
      </c>
      <c r="B118" s="454" t="s">
        <v>958</v>
      </c>
      <c r="C118" s="454" t="s">
        <v>51</v>
      </c>
      <c r="D118" s="454">
        <v>19328</v>
      </c>
      <c r="E118" s="454">
        <v>19328</v>
      </c>
      <c r="F118" s="212">
        <v>9126</v>
      </c>
    </row>
    <row r="119" spans="1:6">
      <c r="A119" s="454" t="s">
        <v>1778</v>
      </c>
      <c r="B119" s="454" t="s">
        <v>958</v>
      </c>
      <c r="C119" s="454" t="s">
        <v>1779</v>
      </c>
      <c r="D119" s="454">
        <v>0</v>
      </c>
      <c r="E119" s="454">
        <v>0</v>
      </c>
      <c r="F119" s="212">
        <v>6848</v>
      </c>
    </row>
    <row r="120" spans="1:6">
      <c r="A120" s="454" t="s">
        <v>2358</v>
      </c>
      <c r="B120" s="454" t="s">
        <v>958</v>
      </c>
      <c r="C120" s="454" t="s">
        <v>517</v>
      </c>
      <c r="D120" s="454">
        <v>7833</v>
      </c>
      <c r="E120" s="454">
        <v>7833</v>
      </c>
      <c r="F120" s="212">
        <v>0</v>
      </c>
    </row>
    <row r="121" spans="1:6">
      <c r="A121" s="454" t="s">
        <v>127</v>
      </c>
      <c r="B121" s="454" t="s">
        <v>958</v>
      </c>
      <c r="C121" s="454" t="s">
        <v>1813</v>
      </c>
      <c r="D121" s="454">
        <v>23600</v>
      </c>
      <c r="E121" s="454">
        <v>23600</v>
      </c>
      <c r="F121" s="212">
        <v>15527</v>
      </c>
    </row>
    <row r="122" spans="1:6">
      <c r="A122" s="454" t="s">
        <v>128</v>
      </c>
      <c r="B122" s="454" t="s">
        <v>958</v>
      </c>
      <c r="C122" s="454" t="s">
        <v>1814</v>
      </c>
      <c r="D122" s="454">
        <v>51026</v>
      </c>
      <c r="E122" s="454">
        <v>51026</v>
      </c>
      <c r="F122" s="212">
        <v>22834</v>
      </c>
    </row>
    <row r="123" spans="1:6">
      <c r="A123" s="454" t="s">
        <v>129</v>
      </c>
      <c r="B123" s="454" t="s">
        <v>958</v>
      </c>
      <c r="C123" s="454" t="s">
        <v>1815</v>
      </c>
      <c r="D123" s="454">
        <v>2319</v>
      </c>
      <c r="E123" s="454">
        <v>2319</v>
      </c>
      <c r="F123" s="212">
        <v>1224</v>
      </c>
    </row>
    <row r="124" spans="1:6">
      <c r="A124" s="454" t="s">
        <v>130</v>
      </c>
      <c r="B124" s="454" t="s">
        <v>958</v>
      </c>
      <c r="C124" s="454" t="s">
        <v>1816</v>
      </c>
      <c r="D124" s="454">
        <v>3548</v>
      </c>
      <c r="E124" s="454">
        <v>3548</v>
      </c>
      <c r="F124" s="212">
        <v>0</v>
      </c>
    </row>
    <row r="125" spans="1:6">
      <c r="A125" s="454" t="s">
        <v>131</v>
      </c>
      <c r="B125" s="454" t="s">
        <v>958</v>
      </c>
      <c r="C125" s="454" t="s">
        <v>1114</v>
      </c>
      <c r="D125" s="454">
        <v>79</v>
      </c>
      <c r="E125" s="454">
        <v>79</v>
      </c>
      <c r="F125" s="212">
        <v>50</v>
      </c>
    </row>
    <row r="126" spans="1:6">
      <c r="A126" s="454" t="s">
        <v>145</v>
      </c>
      <c r="B126" s="454" t="s">
        <v>958</v>
      </c>
      <c r="C126" s="454" t="s">
        <v>59</v>
      </c>
      <c r="D126" s="454">
        <v>209074</v>
      </c>
      <c r="E126" s="454">
        <v>209074</v>
      </c>
      <c r="F126" s="212">
        <v>219499</v>
      </c>
    </row>
    <row r="127" spans="1:6">
      <c r="A127" s="454" t="s">
        <v>146</v>
      </c>
      <c r="B127" s="454" t="s">
        <v>958</v>
      </c>
      <c r="C127" s="454" t="s">
        <v>51</v>
      </c>
      <c r="D127" s="454">
        <v>17423</v>
      </c>
      <c r="E127" s="454">
        <v>17423</v>
      </c>
      <c r="F127" s="212">
        <v>18252</v>
      </c>
    </row>
    <row r="128" spans="1:6">
      <c r="A128" s="454" t="s">
        <v>2390</v>
      </c>
      <c r="F128" s="212">
        <v>735</v>
      </c>
    </row>
    <row r="129" spans="1:6">
      <c r="A129" s="454" t="s">
        <v>147</v>
      </c>
      <c r="B129" s="454" t="s">
        <v>958</v>
      </c>
      <c r="C129" s="454" t="s">
        <v>1813</v>
      </c>
      <c r="D129" s="454">
        <v>47200</v>
      </c>
      <c r="E129" s="454">
        <v>47200</v>
      </c>
      <c r="F129" s="212">
        <v>14995</v>
      </c>
    </row>
    <row r="130" spans="1:6">
      <c r="A130" s="454" t="s">
        <v>148</v>
      </c>
      <c r="B130" s="454" t="s">
        <v>958</v>
      </c>
      <c r="C130" s="454" t="s">
        <v>1814</v>
      </c>
      <c r="D130" s="454">
        <v>45996</v>
      </c>
      <c r="E130" s="454">
        <v>45996</v>
      </c>
      <c r="F130" s="212">
        <v>48326</v>
      </c>
    </row>
    <row r="131" spans="1:6">
      <c r="A131" s="454" t="s">
        <v>149</v>
      </c>
      <c r="B131" s="454" t="s">
        <v>958</v>
      </c>
      <c r="C131" s="454" t="s">
        <v>1815</v>
      </c>
      <c r="D131" s="454">
        <v>2091</v>
      </c>
      <c r="E131" s="454">
        <v>2091</v>
      </c>
      <c r="F131" s="212">
        <v>2251</v>
      </c>
    </row>
    <row r="132" spans="1:6">
      <c r="A132" s="454" t="s">
        <v>150</v>
      </c>
      <c r="B132" s="454" t="s">
        <v>958</v>
      </c>
      <c r="C132" s="454" t="s">
        <v>1816</v>
      </c>
      <c r="D132" s="454">
        <v>3199</v>
      </c>
      <c r="E132" s="454">
        <v>3199</v>
      </c>
      <c r="F132" s="212">
        <v>3329</v>
      </c>
    </row>
    <row r="133" spans="1:6">
      <c r="A133" s="454" t="s">
        <v>151</v>
      </c>
      <c r="B133" s="454" t="s">
        <v>958</v>
      </c>
      <c r="C133" s="454" t="s">
        <v>1114</v>
      </c>
      <c r="D133" s="454">
        <v>79</v>
      </c>
      <c r="E133" s="454">
        <v>79</v>
      </c>
      <c r="F133" s="212">
        <v>98</v>
      </c>
    </row>
    <row r="134" spans="1:6">
      <c r="A134" s="454" t="s">
        <v>166</v>
      </c>
      <c r="B134" s="454" t="s">
        <v>958</v>
      </c>
      <c r="C134" s="454" t="s">
        <v>59</v>
      </c>
      <c r="D134" s="454">
        <v>4491325</v>
      </c>
      <c r="E134" s="454">
        <v>4491325</v>
      </c>
      <c r="F134" s="212">
        <v>2708268</v>
      </c>
    </row>
    <row r="135" spans="1:6">
      <c r="A135" s="454" t="s">
        <v>167</v>
      </c>
      <c r="B135" s="454" t="s">
        <v>958</v>
      </c>
      <c r="C135" s="454" t="s">
        <v>61</v>
      </c>
      <c r="D135" s="454">
        <v>300000</v>
      </c>
      <c r="E135" s="454">
        <v>300000</v>
      </c>
      <c r="F135" s="212">
        <v>503264</v>
      </c>
    </row>
    <row r="136" spans="1:6">
      <c r="A136" s="454" t="s">
        <v>168</v>
      </c>
      <c r="B136" s="454" t="s">
        <v>958</v>
      </c>
      <c r="C136" s="454" t="s">
        <v>51</v>
      </c>
      <c r="D136" s="454">
        <v>441627</v>
      </c>
      <c r="E136" s="454">
        <v>441627</v>
      </c>
      <c r="F136" s="212">
        <v>219411</v>
      </c>
    </row>
    <row r="137" spans="1:6">
      <c r="A137" s="454" t="s">
        <v>1783</v>
      </c>
      <c r="B137" s="454" t="s">
        <v>958</v>
      </c>
      <c r="C137" s="454" t="s">
        <v>1889</v>
      </c>
      <c r="D137" s="454">
        <v>0</v>
      </c>
      <c r="E137" s="454">
        <v>0</v>
      </c>
      <c r="F137" s="212">
        <v>585</v>
      </c>
    </row>
    <row r="138" spans="1:6">
      <c r="A138" s="454" t="s">
        <v>169</v>
      </c>
      <c r="B138" s="454" t="s">
        <v>958</v>
      </c>
      <c r="C138" s="454" t="s">
        <v>364</v>
      </c>
      <c r="D138" s="454">
        <v>0</v>
      </c>
      <c r="E138" s="454">
        <v>0</v>
      </c>
      <c r="F138" s="212">
        <v>215432</v>
      </c>
    </row>
    <row r="139" spans="1:6">
      <c r="A139" s="454" t="s">
        <v>170</v>
      </c>
      <c r="B139" s="454" t="s">
        <v>958</v>
      </c>
      <c r="C139" s="454" t="s">
        <v>517</v>
      </c>
      <c r="D139" s="454">
        <v>142603</v>
      </c>
      <c r="E139" s="454">
        <v>142603</v>
      </c>
      <c r="F139" s="212">
        <v>15443</v>
      </c>
    </row>
    <row r="140" spans="1:6">
      <c r="A140" s="454" t="s">
        <v>171</v>
      </c>
      <c r="B140" s="454" t="s">
        <v>958</v>
      </c>
      <c r="C140" s="454" t="s">
        <v>66</v>
      </c>
      <c r="D140" s="454">
        <v>353227</v>
      </c>
      <c r="E140" s="454">
        <v>353227</v>
      </c>
      <c r="F140" s="212">
        <v>355838</v>
      </c>
    </row>
    <row r="141" spans="1:6">
      <c r="A141" s="454" t="s">
        <v>172</v>
      </c>
      <c r="B141" s="454" t="s">
        <v>958</v>
      </c>
      <c r="C141" s="454" t="s">
        <v>68</v>
      </c>
      <c r="D141" s="454">
        <v>217152</v>
      </c>
      <c r="E141" s="454">
        <v>217154</v>
      </c>
      <c r="F141" s="212">
        <v>33553</v>
      </c>
    </row>
    <row r="142" spans="1:6">
      <c r="A142" s="454" t="s">
        <v>173</v>
      </c>
      <c r="B142" s="454" t="s">
        <v>958</v>
      </c>
      <c r="C142" s="454" t="s">
        <v>1813</v>
      </c>
      <c r="D142" s="454">
        <v>849602</v>
      </c>
      <c r="E142" s="454">
        <v>849602</v>
      </c>
      <c r="F142" s="212">
        <v>189021</v>
      </c>
    </row>
    <row r="143" spans="1:6">
      <c r="A143" s="454" t="s">
        <v>174</v>
      </c>
      <c r="B143" s="454" t="s">
        <v>958</v>
      </c>
      <c r="C143" s="454" t="s">
        <v>1814</v>
      </c>
      <c r="D143" s="454">
        <v>1165893</v>
      </c>
      <c r="E143" s="454">
        <v>1165893</v>
      </c>
      <c r="F143" s="212">
        <v>560689</v>
      </c>
    </row>
    <row r="144" spans="1:6">
      <c r="A144" s="454" t="s">
        <v>175</v>
      </c>
      <c r="B144" s="454" t="s">
        <v>958</v>
      </c>
      <c r="C144" s="454" t="s">
        <v>1815</v>
      </c>
      <c r="D144" s="454">
        <v>52995</v>
      </c>
      <c r="E144" s="454">
        <v>52995</v>
      </c>
      <c r="F144" s="212">
        <v>24256</v>
      </c>
    </row>
    <row r="145" spans="1:6">
      <c r="A145" s="454" t="s">
        <v>176</v>
      </c>
      <c r="B145" s="454" t="s">
        <v>958</v>
      </c>
      <c r="C145" s="454" t="s">
        <v>1816</v>
      </c>
      <c r="D145" s="454">
        <v>81083</v>
      </c>
      <c r="E145" s="454">
        <v>81083</v>
      </c>
      <c r="F145" s="212">
        <v>31219</v>
      </c>
    </row>
    <row r="146" spans="1:6">
      <c r="A146" s="454" t="s">
        <v>177</v>
      </c>
      <c r="B146" s="454" t="s">
        <v>958</v>
      </c>
      <c r="C146" s="454" t="s">
        <v>1114</v>
      </c>
      <c r="D146" s="454">
        <v>1691</v>
      </c>
      <c r="E146" s="454">
        <v>1691</v>
      </c>
      <c r="F146" s="212">
        <v>1119</v>
      </c>
    </row>
    <row r="147" spans="1:6">
      <c r="A147" s="454" t="s">
        <v>202</v>
      </c>
      <c r="B147" s="454" t="s">
        <v>958</v>
      </c>
      <c r="C147" s="454" t="s">
        <v>59</v>
      </c>
      <c r="D147" s="454">
        <v>91860</v>
      </c>
      <c r="E147" s="454">
        <v>91860</v>
      </c>
      <c r="F147" s="212">
        <v>71722</v>
      </c>
    </row>
    <row r="148" spans="1:6">
      <c r="A148" s="454" t="s">
        <v>203</v>
      </c>
      <c r="B148" s="454" t="s">
        <v>958</v>
      </c>
      <c r="C148" s="454" t="s">
        <v>61</v>
      </c>
      <c r="D148" s="454">
        <v>23750</v>
      </c>
      <c r="E148" s="454">
        <v>23750</v>
      </c>
      <c r="F148" s="212">
        <v>55603</v>
      </c>
    </row>
    <row r="149" spans="1:6">
      <c r="A149" s="454" t="s">
        <v>204</v>
      </c>
      <c r="B149" s="454" t="s">
        <v>958</v>
      </c>
      <c r="C149" s="454" t="s">
        <v>51</v>
      </c>
      <c r="D149" s="454">
        <v>7655</v>
      </c>
      <c r="E149" s="454">
        <v>7655</v>
      </c>
      <c r="F149" s="212">
        <v>5855</v>
      </c>
    </row>
    <row r="150" spans="1:6">
      <c r="A150" s="454" t="s">
        <v>1486</v>
      </c>
      <c r="B150" s="454" t="s">
        <v>958</v>
      </c>
      <c r="C150" s="454" t="s">
        <v>1889</v>
      </c>
      <c r="D150" s="454">
        <v>18515</v>
      </c>
      <c r="E150" s="454">
        <v>18515</v>
      </c>
      <c r="F150" s="212">
        <v>17445</v>
      </c>
    </row>
    <row r="151" spans="1:6">
      <c r="A151" s="454" t="s">
        <v>205</v>
      </c>
      <c r="B151" s="454" t="s">
        <v>958</v>
      </c>
      <c r="C151" s="454" t="s">
        <v>1814</v>
      </c>
      <c r="D151" s="454">
        <v>20209</v>
      </c>
      <c r="E151" s="454">
        <v>20209</v>
      </c>
      <c r="F151" s="212">
        <v>11948</v>
      </c>
    </row>
    <row r="152" spans="1:6">
      <c r="A152" s="454" t="s">
        <v>206</v>
      </c>
      <c r="B152" s="454" t="s">
        <v>958</v>
      </c>
      <c r="C152" s="454" t="s">
        <v>1815</v>
      </c>
      <c r="D152" s="454">
        <v>919</v>
      </c>
      <c r="E152" s="454">
        <v>919</v>
      </c>
      <c r="F152" s="212">
        <v>1193</v>
      </c>
    </row>
    <row r="153" spans="1:6">
      <c r="A153" s="454" t="s">
        <v>207</v>
      </c>
      <c r="B153" s="454" t="s">
        <v>958</v>
      </c>
      <c r="C153" s="454" t="s">
        <v>1816</v>
      </c>
      <c r="D153" s="454">
        <v>1405</v>
      </c>
      <c r="E153" s="454">
        <v>1405</v>
      </c>
      <c r="F153" s="212">
        <v>0</v>
      </c>
    </row>
    <row r="154" spans="1:6">
      <c r="A154" s="454" t="s">
        <v>208</v>
      </c>
      <c r="B154" s="454" t="s">
        <v>958</v>
      </c>
      <c r="C154" s="454" t="s">
        <v>1114</v>
      </c>
      <c r="D154" s="454">
        <v>39</v>
      </c>
      <c r="E154" s="454">
        <v>39</v>
      </c>
      <c r="F154" s="212">
        <v>39</v>
      </c>
    </row>
    <row r="155" spans="1:6">
      <c r="A155" s="454" t="s">
        <v>210</v>
      </c>
      <c r="B155" s="454" t="s">
        <v>958</v>
      </c>
      <c r="C155" s="454" t="s">
        <v>59</v>
      </c>
      <c r="D155" s="454">
        <v>178531</v>
      </c>
      <c r="E155" s="454">
        <v>178531</v>
      </c>
      <c r="F155" s="212">
        <v>187382</v>
      </c>
    </row>
    <row r="156" spans="1:6">
      <c r="A156" s="454" t="s">
        <v>211</v>
      </c>
      <c r="B156" s="454" t="s">
        <v>958</v>
      </c>
      <c r="C156" s="454" t="s">
        <v>61</v>
      </c>
      <c r="D156" s="454">
        <v>0</v>
      </c>
      <c r="E156" s="454">
        <v>0</v>
      </c>
      <c r="F156" s="212">
        <v>10638</v>
      </c>
    </row>
    <row r="157" spans="1:6">
      <c r="A157" s="454" t="s">
        <v>212</v>
      </c>
      <c r="B157" s="454" t="s">
        <v>958</v>
      </c>
      <c r="C157" s="454" t="s">
        <v>51</v>
      </c>
      <c r="D157" s="454">
        <v>14878</v>
      </c>
      <c r="E157" s="454">
        <v>14878</v>
      </c>
      <c r="F157" s="212">
        <v>15586</v>
      </c>
    </row>
    <row r="158" spans="1:6">
      <c r="A158" s="454" t="s">
        <v>213</v>
      </c>
      <c r="B158" s="454" t="s">
        <v>958</v>
      </c>
      <c r="C158" s="454" t="s">
        <v>517</v>
      </c>
      <c r="D158" s="454">
        <v>7832</v>
      </c>
      <c r="E158" s="454">
        <v>7832</v>
      </c>
      <c r="F158" s="212">
        <v>0</v>
      </c>
    </row>
    <row r="159" spans="1:6">
      <c r="A159" s="454" t="s">
        <v>214</v>
      </c>
      <c r="B159" s="454" t="s">
        <v>958</v>
      </c>
      <c r="C159" s="454" t="s">
        <v>66</v>
      </c>
      <c r="D159" s="454">
        <v>42080</v>
      </c>
      <c r="E159" s="454">
        <v>42080</v>
      </c>
      <c r="F159" s="212">
        <v>48403</v>
      </c>
    </row>
    <row r="160" spans="1:6">
      <c r="A160" s="454" t="s">
        <v>215</v>
      </c>
      <c r="B160" s="454" t="s">
        <v>958</v>
      </c>
      <c r="C160" s="454" t="s">
        <v>1813</v>
      </c>
      <c r="D160" s="454">
        <v>23600</v>
      </c>
      <c r="E160" s="454">
        <v>23600</v>
      </c>
      <c r="F160" s="212">
        <v>12197</v>
      </c>
    </row>
    <row r="161" spans="1:6">
      <c r="A161" s="454" t="s">
        <v>216</v>
      </c>
      <c r="B161" s="454" t="s">
        <v>958</v>
      </c>
      <c r="C161" s="454" t="s">
        <v>1814</v>
      </c>
      <c r="D161" s="454">
        <v>39278</v>
      </c>
      <c r="E161" s="454">
        <v>39278</v>
      </c>
      <c r="F161" s="212">
        <v>41224</v>
      </c>
    </row>
    <row r="162" spans="1:6">
      <c r="A162" s="454" t="s">
        <v>217</v>
      </c>
      <c r="B162" s="454" t="s">
        <v>958</v>
      </c>
      <c r="C162" s="454" t="s">
        <v>1815</v>
      </c>
      <c r="D162" s="454">
        <v>1785</v>
      </c>
      <c r="E162" s="454">
        <v>1785</v>
      </c>
      <c r="F162" s="212">
        <v>1497</v>
      </c>
    </row>
    <row r="163" spans="1:6">
      <c r="A163" s="454" t="s">
        <v>218</v>
      </c>
      <c r="B163" s="454" t="s">
        <v>958</v>
      </c>
      <c r="C163" s="454" t="s">
        <v>1816</v>
      </c>
      <c r="D163" s="454">
        <v>2732</v>
      </c>
      <c r="E163" s="454">
        <v>2732</v>
      </c>
      <c r="F163" s="212">
        <v>2843</v>
      </c>
    </row>
    <row r="164" spans="1:6">
      <c r="A164" s="454" t="s">
        <v>734</v>
      </c>
      <c r="B164" s="454" t="s">
        <v>958</v>
      </c>
      <c r="C164" s="454" t="s">
        <v>1114</v>
      </c>
      <c r="D164" s="454">
        <v>39</v>
      </c>
      <c r="E164" s="454">
        <v>39</v>
      </c>
      <c r="F164" s="212">
        <v>49</v>
      </c>
    </row>
    <row r="165" spans="1:6">
      <c r="A165" s="454" t="s">
        <v>853</v>
      </c>
      <c r="B165" s="454" t="s">
        <v>958</v>
      </c>
      <c r="C165" s="454" t="s">
        <v>59</v>
      </c>
      <c r="D165" s="454">
        <v>1561489</v>
      </c>
      <c r="E165" s="454">
        <v>1561489</v>
      </c>
      <c r="F165" s="212">
        <v>1563281</v>
      </c>
    </row>
    <row r="166" spans="1:6">
      <c r="A166" s="454" t="s">
        <v>854</v>
      </c>
      <c r="B166" s="454" t="s">
        <v>958</v>
      </c>
      <c r="C166" s="454" t="s">
        <v>61</v>
      </c>
      <c r="D166" s="454">
        <v>0</v>
      </c>
      <c r="E166" s="454">
        <v>0</v>
      </c>
      <c r="F166" s="212">
        <v>331858</v>
      </c>
    </row>
    <row r="167" spans="1:6">
      <c r="A167" s="454" t="s">
        <v>855</v>
      </c>
      <c r="B167" s="454" t="s">
        <v>958</v>
      </c>
      <c r="C167" s="454" t="s">
        <v>51</v>
      </c>
      <c r="D167" s="454">
        <v>130124</v>
      </c>
      <c r="E167" s="454">
        <v>130125</v>
      </c>
      <c r="F167" s="212">
        <v>132643</v>
      </c>
    </row>
    <row r="168" spans="1:6">
      <c r="A168" s="454" t="s">
        <v>856</v>
      </c>
      <c r="B168" s="454" t="s">
        <v>958</v>
      </c>
      <c r="C168" s="454" t="s">
        <v>364</v>
      </c>
      <c r="D168" s="454">
        <v>0</v>
      </c>
      <c r="E168" s="454">
        <v>0</v>
      </c>
      <c r="F168" s="212">
        <v>17340</v>
      </c>
    </row>
    <row r="169" spans="1:6">
      <c r="A169" s="454" t="s">
        <v>857</v>
      </c>
      <c r="B169" s="454" t="s">
        <v>958</v>
      </c>
      <c r="C169" s="454" t="s">
        <v>517</v>
      </c>
      <c r="D169" s="454">
        <v>21033</v>
      </c>
      <c r="E169" s="454">
        <v>21033</v>
      </c>
      <c r="F169" s="212">
        <v>0</v>
      </c>
    </row>
    <row r="170" spans="1:6">
      <c r="A170" s="454" t="s">
        <v>858</v>
      </c>
      <c r="B170" s="454" t="s">
        <v>958</v>
      </c>
      <c r="C170" s="454" t="s">
        <v>1813</v>
      </c>
      <c r="D170" s="454">
        <v>118000</v>
      </c>
      <c r="E170" s="454">
        <v>118000</v>
      </c>
      <c r="F170" s="212">
        <v>0</v>
      </c>
    </row>
    <row r="171" spans="1:6">
      <c r="A171" s="454" t="s">
        <v>859</v>
      </c>
      <c r="B171" s="454" t="s">
        <v>958</v>
      </c>
      <c r="C171" s="454" t="s">
        <v>1814</v>
      </c>
      <c r="D171" s="454">
        <v>343528</v>
      </c>
      <c r="E171" s="454">
        <v>343528</v>
      </c>
      <c r="F171" s="212">
        <v>333149</v>
      </c>
    </row>
    <row r="172" spans="1:6">
      <c r="A172" s="454" t="s">
        <v>860</v>
      </c>
      <c r="B172" s="454" t="s">
        <v>958</v>
      </c>
      <c r="C172" s="454" t="s">
        <v>1815</v>
      </c>
      <c r="D172" s="454">
        <v>15615</v>
      </c>
      <c r="E172" s="454">
        <v>15615</v>
      </c>
      <c r="F172" s="212">
        <v>20280</v>
      </c>
    </row>
    <row r="173" spans="1:6">
      <c r="A173" s="454" t="s">
        <v>861</v>
      </c>
      <c r="B173" s="454" t="s">
        <v>958</v>
      </c>
      <c r="C173" s="454" t="s">
        <v>1816</v>
      </c>
      <c r="D173" s="454">
        <v>23891</v>
      </c>
      <c r="E173" s="454">
        <v>23891</v>
      </c>
      <c r="F173" s="212">
        <v>5409</v>
      </c>
    </row>
    <row r="174" spans="1:6">
      <c r="A174" s="454" t="s">
        <v>862</v>
      </c>
      <c r="B174" s="454" t="s">
        <v>958</v>
      </c>
      <c r="C174" s="454" t="s">
        <v>1114</v>
      </c>
      <c r="D174" s="454">
        <v>1140</v>
      </c>
      <c r="E174" s="454">
        <v>1140</v>
      </c>
      <c r="F174" s="212">
        <v>1439</v>
      </c>
    </row>
    <row r="175" spans="1:6">
      <c r="A175" s="454" t="s">
        <v>874</v>
      </c>
      <c r="B175" s="454" t="s">
        <v>958</v>
      </c>
      <c r="C175" s="454" t="s">
        <v>59</v>
      </c>
      <c r="D175" s="454">
        <v>397632</v>
      </c>
      <c r="E175" s="454">
        <v>397632</v>
      </c>
      <c r="F175" s="212">
        <v>121880</v>
      </c>
    </row>
    <row r="176" spans="1:6">
      <c r="A176" s="454" t="s">
        <v>875</v>
      </c>
      <c r="B176" s="454" t="s">
        <v>958</v>
      </c>
      <c r="C176" s="454" t="s">
        <v>61</v>
      </c>
      <c r="D176" s="454">
        <v>9500</v>
      </c>
      <c r="E176" s="454">
        <v>9500</v>
      </c>
      <c r="F176" s="212">
        <v>39399</v>
      </c>
    </row>
    <row r="177" spans="1:6">
      <c r="A177" s="454" t="s">
        <v>876</v>
      </c>
      <c r="B177" s="454" t="s">
        <v>958</v>
      </c>
      <c r="C177" s="454" t="s">
        <v>51</v>
      </c>
      <c r="D177" s="454">
        <v>33136</v>
      </c>
      <c r="E177" s="454">
        <v>33136</v>
      </c>
      <c r="F177" s="212">
        <v>12295</v>
      </c>
    </row>
    <row r="178" spans="1:6">
      <c r="A178" s="454" t="s">
        <v>1892</v>
      </c>
      <c r="B178" s="454" t="s">
        <v>958</v>
      </c>
      <c r="C178" s="454" t="s">
        <v>1893</v>
      </c>
      <c r="D178" s="454">
        <v>15664</v>
      </c>
      <c r="E178" s="454">
        <v>15664</v>
      </c>
      <c r="F178" s="212">
        <v>0</v>
      </c>
    </row>
    <row r="179" spans="1:6">
      <c r="A179" s="454" t="s">
        <v>877</v>
      </c>
      <c r="B179" s="454" t="s">
        <v>958</v>
      </c>
      <c r="C179" s="454" t="s">
        <v>1813</v>
      </c>
      <c r="D179" s="454">
        <v>23600</v>
      </c>
      <c r="E179" s="454">
        <v>23600</v>
      </c>
      <c r="F179" s="212">
        <v>0</v>
      </c>
    </row>
    <row r="180" spans="1:6">
      <c r="A180" s="454" t="s">
        <v>878</v>
      </c>
      <c r="B180" s="454" t="s">
        <v>958</v>
      </c>
      <c r="C180" s="454" t="s">
        <v>1814</v>
      </c>
      <c r="D180" s="454">
        <v>87479</v>
      </c>
      <c r="E180" s="454">
        <v>87479</v>
      </c>
      <c r="F180" s="212">
        <v>25496</v>
      </c>
    </row>
    <row r="181" spans="1:6">
      <c r="A181" s="454" t="s">
        <v>879</v>
      </c>
      <c r="B181" s="454" t="s">
        <v>958</v>
      </c>
      <c r="C181" s="454" t="s">
        <v>1815</v>
      </c>
      <c r="D181" s="454">
        <v>3977</v>
      </c>
      <c r="E181" s="454">
        <v>3977</v>
      </c>
      <c r="F181" s="212">
        <v>1761</v>
      </c>
    </row>
    <row r="182" spans="1:6">
      <c r="A182" s="454" t="s">
        <v>880</v>
      </c>
      <c r="B182" s="454" t="s">
        <v>958</v>
      </c>
      <c r="C182" s="454" t="s">
        <v>1816</v>
      </c>
      <c r="D182" s="454">
        <v>6084</v>
      </c>
      <c r="E182" s="454">
        <v>6084</v>
      </c>
      <c r="F182" s="212">
        <v>0</v>
      </c>
    </row>
    <row r="183" spans="1:6">
      <c r="A183" s="454" t="s">
        <v>881</v>
      </c>
      <c r="B183" s="454" t="s">
        <v>958</v>
      </c>
      <c r="C183" s="454" t="s">
        <v>1114</v>
      </c>
      <c r="D183" s="454">
        <v>314</v>
      </c>
      <c r="E183" s="454">
        <v>314</v>
      </c>
      <c r="F183" s="212">
        <v>115</v>
      </c>
    </row>
    <row r="184" spans="1:6">
      <c r="A184" s="454" t="s">
        <v>887</v>
      </c>
      <c r="B184" s="454" t="s">
        <v>958</v>
      </c>
      <c r="C184" s="454" t="s">
        <v>59</v>
      </c>
      <c r="D184" s="454">
        <v>2061881</v>
      </c>
      <c r="E184" s="454">
        <v>2061881</v>
      </c>
      <c r="F184" s="212">
        <v>2017008</v>
      </c>
    </row>
    <row r="185" spans="1:6">
      <c r="A185" s="454" t="s">
        <v>888</v>
      </c>
      <c r="B185" s="454" t="s">
        <v>958</v>
      </c>
      <c r="C185" s="454" t="s">
        <v>61</v>
      </c>
      <c r="D185" s="454">
        <v>247000</v>
      </c>
      <c r="E185" s="454">
        <v>247000</v>
      </c>
      <c r="F185" s="212">
        <v>706371</v>
      </c>
    </row>
    <row r="186" spans="1:6">
      <c r="A186" s="454" t="s">
        <v>889</v>
      </c>
      <c r="B186" s="454" t="s">
        <v>958</v>
      </c>
      <c r="C186" s="454" t="s">
        <v>51</v>
      </c>
      <c r="D186" s="454">
        <v>171824</v>
      </c>
      <c r="E186" s="454">
        <v>171824</v>
      </c>
      <c r="F186" s="212">
        <v>148222</v>
      </c>
    </row>
    <row r="187" spans="1:6">
      <c r="A187" s="454" t="s">
        <v>2362</v>
      </c>
      <c r="B187" s="454" t="s">
        <v>958</v>
      </c>
      <c r="C187" s="454" t="s">
        <v>517</v>
      </c>
      <c r="D187" s="454">
        <v>10682</v>
      </c>
      <c r="E187" s="454">
        <v>10682</v>
      </c>
      <c r="F187" s="212"/>
    </row>
    <row r="188" spans="1:6">
      <c r="A188" s="454" t="s">
        <v>891</v>
      </c>
      <c r="B188" s="454" t="s">
        <v>958</v>
      </c>
      <c r="C188" s="454" t="s">
        <v>1813</v>
      </c>
      <c r="D188" s="454">
        <v>165200</v>
      </c>
      <c r="E188" s="454">
        <v>165200</v>
      </c>
      <c r="F188" s="212">
        <v>7326</v>
      </c>
    </row>
    <row r="189" spans="1:6">
      <c r="A189" s="454" t="s">
        <v>892</v>
      </c>
      <c r="B189" s="454" t="s">
        <v>958</v>
      </c>
      <c r="C189" s="454" t="s">
        <v>1814</v>
      </c>
      <c r="D189" s="454">
        <v>453614</v>
      </c>
      <c r="E189" s="454">
        <v>453614</v>
      </c>
      <c r="F189" s="212">
        <v>436310</v>
      </c>
    </row>
    <row r="190" spans="1:6">
      <c r="A190" s="454" t="s">
        <v>893</v>
      </c>
      <c r="B190" s="454" t="s">
        <v>958</v>
      </c>
      <c r="C190" s="454" t="s">
        <v>1815</v>
      </c>
      <c r="D190" s="454">
        <v>20619</v>
      </c>
      <c r="E190" s="454">
        <v>20619</v>
      </c>
      <c r="F190" s="212">
        <v>28684</v>
      </c>
    </row>
    <row r="191" spans="1:6">
      <c r="A191" s="454" t="s">
        <v>894</v>
      </c>
      <c r="B191" s="454" t="s">
        <v>958</v>
      </c>
      <c r="C191" s="454" t="s">
        <v>1816</v>
      </c>
      <c r="D191" s="454">
        <v>31547</v>
      </c>
      <c r="E191" s="454">
        <v>31547</v>
      </c>
      <c r="F191" s="212">
        <v>11741</v>
      </c>
    </row>
    <row r="192" spans="1:6">
      <c r="A192" s="454" t="s">
        <v>895</v>
      </c>
      <c r="B192" s="454" t="s">
        <v>958</v>
      </c>
      <c r="C192" s="454" t="s">
        <v>1114</v>
      </c>
      <c r="D192" s="454">
        <v>1573</v>
      </c>
      <c r="E192" s="454">
        <v>1573</v>
      </c>
      <c r="F192" s="212">
        <v>1833</v>
      </c>
    </row>
    <row r="193" spans="1:6">
      <c r="A193" s="454" t="s">
        <v>762</v>
      </c>
      <c r="B193" s="454" t="s">
        <v>958</v>
      </c>
      <c r="C193" s="454" t="s">
        <v>59</v>
      </c>
      <c r="D193" s="454">
        <v>1121962</v>
      </c>
      <c r="E193" s="454">
        <v>1121962</v>
      </c>
      <c r="F193" s="212">
        <v>700729</v>
      </c>
    </row>
    <row r="194" spans="1:6">
      <c r="A194" s="454" t="s">
        <v>763</v>
      </c>
      <c r="B194" s="454" t="s">
        <v>958</v>
      </c>
      <c r="C194" s="454" t="s">
        <v>61</v>
      </c>
      <c r="D194" s="454">
        <v>0</v>
      </c>
      <c r="E194" s="454">
        <v>0</v>
      </c>
      <c r="F194" s="212">
        <v>13675</v>
      </c>
    </row>
    <row r="195" spans="1:6">
      <c r="A195" s="454" t="s">
        <v>764</v>
      </c>
      <c r="B195" s="454" t="s">
        <v>958</v>
      </c>
      <c r="C195" s="454" t="s">
        <v>51</v>
      </c>
      <c r="D195" s="454">
        <v>16777</v>
      </c>
      <c r="E195" s="454">
        <v>16777</v>
      </c>
      <c r="F195" s="212">
        <v>64100</v>
      </c>
    </row>
    <row r="196" spans="1:6">
      <c r="A196" s="454" t="s">
        <v>766</v>
      </c>
      <c r="B196" s="454" t="s">
        <v>958</v>
      </c>
      <c r="C196" s="454" t="s">
        <v>517</v>
      </c>
      <c r="D196" s="454">
        <v>7832</v>
      </c>
      <c r="E196" s="454">
        <v>7832</v>
      </c>
      <c r="F196" s="212">
        <v>6408</v>
      </c>
    </row>
    <row r="197" spans="1:6">
      <c r="A197" s="454" t="s">
        <v>767</v>
      </c>
      <c r="B197" s="454" t="s">
        <v>958</v>
      </c>
      <c r="C197" s="454" t="s">
        <v>66</v>
      </c>
      <c r="D197" s="454">
        <v>190102</v>
      </c>
      <c r="E197" s="454">
        <v>190102</v>
      </c>
      <c r="F197" s="212">
        <v>145439</v>
      </c>
    </row>
    <row r="198" spans="1:6">
      <c r="A198" s="454" t="s">
        <v>1388</v>
      </c>
      <c r="B198" s="454" t="s">
        <v>958</v>
      </c>
      <c r="C198" s="454" t="s">
        <v>1813</v>
      </c>
      <c r="D198" s="454">
        <v>47200</v>
      </c>
      <c r="E198" s="454">
        <v>47200</v>
      </c>
      <c r="F198" s="212">
        <v>89361</v>
      </c>
    </row>
    <row r="199" spans="1:6">
      <c r="A199" s="454" t="s">
        <v>1389</v>
      </c>
      <c r="B199" s="454" t="s">
        <v>958</v>
      </c>
      <c r="C199" s="454" t="s">
        <v>1814</v>
      </c>
      <c r="D199" s="454">
        <v>44291</v>
      </c>
      <c r="E199" s="454">
        <v>44291</v>
      </c>
      <c r="F199" s="212">
        <v>91449</v>
      </c>
    </row>
    <row r="200" spans="1:6">
      <c r="A200" s="454" t="s">
        <v>1390</v>
      </c>
      <c r="B200" s="454" t="s">
        <v>958</v>
      </c>
      <c r="C200" s="454" t="s">
        <v>1815</v>
      </c>
      <c r="D200" s="454">
        <v>2013</v>
      </c>
      <c r="E200" s="454">
        <v>2013</v>
      </c>
      <c r="F200" s="212">
        <v>1382</v>
      </c>
    </row>
    <row r="201" spans="1:6">
      <c r="A201" s="454" t="s">
        <v>1391</v>
      </c>
      <c r="B201" s="454" t="s">
        <v>958</v>
      </c>
      <c r="C201" s="454" t="s">
        <v>1816</v>
      </c>
      <c r="D201" s="454">
        <v>3080</v>
      </c>
      <c r="E201" s="454">
        <v>3080</v>
      </c>
      <c r="F201" s="212">
        <v>8554</v>
      </c>
    </row>
    <row r="202" spans="1:6">
      <c r="A202" s="454" t="s">
        <v>1392</v>
      </c>
      <c r="B202" s="454" t="s">
        <v>958</v>
      </c>
      <c r="C202" s="454" t="s">
        <v>1114</v>
      </c>
      <c r="D202" s="454">
        <v>79</v>
      </c>
      <c r="E202" s="454">
        <v>79</v>
      </c>
      <c r="F202" s="212">
        <v>163</v>
      </c>
    </row>
    <row r="203" spans="1:6">
      <c r="A203" s="454" t="s">
        <v>1408</v>
      </c>
      <c r="B203" s="454" t="s">
        <v>958</v>
      </c>
      <c r="C203" s="454" t="s">
        <v>59</v>
      </c>
      <c r="D203" s="454">
        <v>1870588</v>
      </c>
      <c r="E203" s="454">
        <v>1870588</v>
      </c>
      <c r="F203" s="212">
        <v>2177686</v>
      </c>
    </row>
    <row r="204" spans="1:6">
      <c r="A204" s="454" t="s">
        <v>1409</v>
      </c>
      <c r="B204" s="454" t="s">
        <v>958</v>
      </c>
      <c r="C204" s="454" t="s">
        <v>61</v>
      </c>
      <c r="D204" s="454">
        <v>247000</v>
      </c>
      <c r="E204" s="454">
        <v>247000</v>
      </c>
      <c r="F204" s="212">
        <v>1041276</v>
      </c>
    </row>
    <row r="205" spans="1:6">
      <c r="A205" s="454" t="s">
        <v>1410</v>
      </c>
      <c r="B205" s="454" t="s">
        <v>958</v>
      </c>
      <c r="C205" s="454" t="s">
        <v>51</v>
      </c>
      <c r="D205" s="454">
        <v>191274</v>
      </c>
      <c r="E205" s="454">
        <v>191274</v>
      </c>
      <c r="F205" s="212">
        <v>174023</v>
      </c>
    </row>
    <row r="206" spans="1:6">
      <c r="A206" s="454" t="s">
        <v>1411</v>
      </c>
      <c r="B206" s="454" t="s">
        <v>958</v>
      </c>
      <c r="C206" s="454" t="s">
        <v>890</v>
      </c>
      <c r="D206" s="454">
        <v>0</v>
      </c>
      <c r="E206" s="454">
        <v>0</v>
      </c>
      <c r="F206" s="212">
        <v>65880</v>
      </c>
    </row>
    <row r="207" spans="1:6">
      <c r="A207" s="454" t="s">
        <v>1412</v>
      </c>
      <c r="B207" s="454" t="s">
        <v>958</v>
      </c>
      <c r="C207" s="454" t="s">
        <v>364</v>
      </c>
      <c r="D207" s="454">
        <v>0</v>
      </c>
      <c r="E207" s="454">
        <v>0</v>
      </c>
      <c r="F207" s="212">
        <v>59465</v>
      </c>
    </row>
    <row r="208" spans="1:6">
      <c r="A208" s="454" t="s">
        <v>1413</v>
      </c>
      <c r="B208" s="454" t="s">
        <v>958</v>
      </c>
      <c r="C208" s="454" t="s">
        <v>517</v>
      </c>
      <c r="D208" s="454">
        <v>36697</v>
      </c>
      <c r="E208" s="454">
        <v>36697</v>
      </c>
      <c r="F208" s="212">
        <v>6408</v>
      </c>
    </row>
    <row r="209" spans="1:6">
      <c r="A209" s="454" t="s">
        <v>1414</v>
      </c>
      <c r="B209" s="454" t="s">
        <v>958</v>
      </c>
      <c r="C209" s="454" t="s">
        <v>66</v>
      </c>
      <c r="D209" s="454">
        <v>41010</v>
      </c>
      <c r="E209" s="454">
        <v>41010</v>
      </c>
      <c r="F209" s="212">
        <v>58892</v>
      </c>
    </row>
    <row r="210" spans="1:6">
      <c r="A210" s="454" t="s">
        <v>1415</v>
      </c>
      <c r="B210" s="454" t="s">
        <v>958</v>
      </c>
      <c r="C210" s="454" t="s">
        <v>1813</v>
      </c>
      <c r="D210" s="454">
        <v>118000</v>
      </c>
      <c r="E210" s="454">
        <v>118000</v>
      </c>
      <c r="F210" s="212">
        <v>21514</v>
      </c>
    </row>
    <row r="211" spans="1:6">
      <c r="A211" s="454" t="s">
        <v>1416</v>
      </c>
      <c r="B211" s="454" t="s">
        <v>958</v>
      </c>
      <c r="C211" s="454" t="s">
        <v>1814</v>
      </c>
      <c r="D211" s="454">
        <v>504963</v>
      </c>
      <c r="E211" s="454">
        <v>504963</v>
      </c>
      <c r="F211" s="212">
        <v>454375</v>
      </c>
    </row>
    <row r="212" spans="1:6">
      <c r="A212" s="454" t="s">
        <v>1417</v>
      </c>
      <c r="B212" s="454" t="s">
        <v>958</v>
      </c>
      <c r="C212" s="454" t="s">
        <v>1815</v>
      </c>
      <c r="D212" s="454">
        <v>22953</v>
      </c>
      <c r="E212" s="454">
        <v>22953</v>
      </c>
      <c r="F212" s="212">
        <v>32266</v>
      </c>
    </row>
    <row r="213" spans="1:6">
      <c r="A213" s="454" t="s">
        <v>1418</v>
      </c>
      <c r="B213" s="454" t="s">
        <v>958</v>
      </c>
      <c r="C213" s="454" t="s">
        <v>1816</v>
      </c>
      <c r="D213" s="454">
        <v>35118</v>
      </c>
      <c r="E213" s="454">
        <v>35118</v>
      </c>
      <c r="F213" s="212">
        <v>8774</v>
      </c>
    </row>
    <row r="214" spans="1:6">
      <c r="A214" s="454" t="s">
        <v>1419</v>
      </c>
      <c r="B214" s="454" t="s">
        <v>958</v>
      </c>
      <c r="C214" s="454" t="s">
        <v>1114</v>
      </c>
      <c r="D214" s="454">
        <v>1652</v>
      </c>
      <c r="E214" s="454">
        <v>1652</v>
      </c>
      <c r="F214" s="212">
        <v>1845</v>
      </c>
    </row>
    <row r="215" spans="1:6">
      <c r="A215" s="454" t="s">
        <v>225</v>
      </c>
      <c r="B215" s="454" t="s">
        <v>958</v>
      </c>
      <c r="C215" s="454" t="s">
        <v>59</v>
      </c>
      <c r="D215" s="454">
        <v>1930152</v>
      </c>
      <c r="E215" s="454">
        <v>1930159</v>
      </c>
      <c r="F215" s="212">
        <v>1811629</v>
      </c>
    </row>
    <row r="216" spans="1:6">
      <c r="A216" s="454" t="s">
        <v>226</v>
      </c>
      <c r="B216" s="454" t="s">
        <v>958</v>
      </c>
      <c r="C216" s="454" t="s">
        <v>61</v>
      </c>
      <c r="D216" s="454">
        <v>475000</v>
      </c>
      <c r="E216" s="454">
        <v>475000</v>
      </c>
      <c r="F216" s="212">
        <v>1415089</v>
      </c>
    </row>
    <row r="217" spans="1:6">
      <c r="A217" s="454" t="s">
        <v>227</v>
      </c>
      <c r="B217" s="454" t="s">
        <v>958</v>
      </c>
      <c r="C217" s="454" t="s">
        <v>51</v>
      </c>
      <c r="D217" s="454">
        <v>207219</v>
      </c>
      <c r="E217" s="454">
        <v>207219</v>
      </c>
      <c r="F217" s="212">
        <v>149038</v>
      </c>
    </row>
    <row r="218" spans="1:6">
      <c r="A218" s="454" t="s">
        <v>228</v>
      </c>
      <c r="B218" s="454" t="s">
        <v>958</v>
      </c>
      <c r="C218" s="454" t="s">
        <v>890</v>
      </c>
      <c r="D218" s="454">
        <v>472643</v>
      </c>
      <c r="E218" s="454">
        <v>472643</v>
      </c>
      <c r="F218" s="212">
        <v>132862</v>
      </c>
    </row>
    <row r="219" spans="1:6">
      <c r="A219" s="454" t="s">
        <v>229</v>
      </c>
      <c r="B219" s="454" t="s">
        <v>958</v>
      </c>
      <c r="C219" s="454" t="s">
        <v>364</v>
      </c>
      <c r="D219" s="454">
        <v>0</v>
      </c>
      <c r="E219" s="454">
        <v>0</v>
      </c>
      <c r="F219" s="212">
        <v>75330</v>
      </c>
    </row>
    <row r="220" spans="1:6">
      <c r="A220" s="454" t="s">
        <v>230</v>
      </c>
      <c r="B220" s="454" t="s">
        <v>958</v>
      </c>
      <c r="C220" s="454" t="s">
        <v>517</v>
      </c>
      <c r="D220" s="454">
        <v>44528</v>
      </c>
      <c r="E220" s="454">
        <v>44528</v>
      </c>
      <c r="F220" s="212">
        <v>3000</v>
      </c>
    </row>
    <row r="221" spans="1:6">
      <c r="A221" s="454" t="s">
        <v>1498</v>
      </c>
      <c r="B221" s="454" t="s">
        <v>958</v>
      </c>
      <c r="C221" s="454" t="s">
        <v>66</v>
      </c>
      <c r="D221" s="454">
        <v>69554</v>
      </c>
      <c r="E221" s="454">
        <v>69554</v>
      </c>
      <c r="F221" s="212">
        <v>64827</v>
      </c>
    </row>
    <row r="222" spans="1:6">
      <c r="A222" s="454" t="s">
        <v>231</v>
      </c>
      <c r="B222" s="454" t="s">
        <v>958</v>
      </c>
      <c r="C222" s="454" t="s">
        <v>1813</v>
      </c>
      <c r="D222" s="454">
        <v>212400</v>
      </c>
      <c r="E222" s="454">
        <v>212400</v>
      </c>
      <c r="F222" s="212">
        <v>93679</v>
      </c>
    </row>
    <row r="223" spans="1:6">
      <c r="A223" s="454" t="s">
        <v>232</v>
      </c>
      <c r="B223" s="454" t="s">
        <v>958</v>
      </c>
      <c r="C223" s="454" t="s">
        <v>1814</v>
      </c>
      <c r="D223" s="454">
        <v>547057</v>
      </c>
      <c r="E223" s="454">
        <v>547057</v>
      </c>
      <c r="F223" s="212">
        <v>405534</v>
      </c>
    </row>
    <row r="224" spans="1:6">
      <c r="A224" s="454" t="s">
        <v>233</v>
      </c>
      <c r="B224" s="454" t="s">
        <v>958</v>
      </c>
      <c r="C224" s="454" t="s">
        <v>1815</v>
      </c>
      <c r="D224" s="454">
        <v>24866</v>
      </c>
      <c r="E224" s="454">
        <v>24866</v>
      </c>
      <c r="F224" s="212">
        <v>23541</v>
      </c>
    </row>
    <row r="225" spans="1:6">
      <c r="A225" s="454" t="s">
        <v>234</v>
      </c>
      <c r="B225" s="454" t="s">
        <v>958</v>
      </c>
      <c r="C225" s="454" t="s">
        <v>1816</v>
      </c>
      <c r="D225" s="454">
        <v>38046</v>
      </c>
      <c r="E225" s="454">
        <v>38046</v>
      </c>
      <c r="F225" s="212">
        <v>16163</v>
      </c>
    </row>
    <row r="226" spans="1:6">
      <c r="A226" s="454" t="s">
        <v>235</v>
      </c>
      <c r="B226" s="454" t="s">
        <v>958</v>
      </c>
      <c r="C226" s="454" t="s">
        <v>1114</v>
      </c>
      <c r="D226" s="454">
        <v>1338</v>
      </c>
      <c r="E226" s="454">
        <v>1338</v>
      </c>
      <c r="F226" s="212">
        <v>1183</v>
      </c>
    </row>
    <row r="227" spans="1:6">
      <c r="A227" s="454" t="s">
        <v>267</v>
      </c>
      <c r="B227" s="454" t="s">
        <v>958</v>
      </c>
      <c r="C227" s="454" t="s">
        <v>59</v>
      </c>
      <c r="D227" s="454">
        <v>942858</v>
      </c>
      <c r="E227" s="454">
        <v>942858</v>
      </c>
      <c r="F227" s="212">
        <v>173882</v>
      </c>
    </row>
    <row r="228" spans="1:6">
      <c r="A228" s="454" t="s">
        <v>268</v>
      </c>
      <c r="B228" s="454" t="s">
        <v>958</v>
      </c>
      <c r="C228" s="454" t="s">
        <v>51</v>
      </c>
      <c r="D228" s="454">
        <v>78572</v>
      </c>
      <c r="E228" s="454">
        <v>78572</v>
      </c>
      <c r="F228" s="212">
        <v>14467</v>
      </c>
    </row>
    <row r="229" spans="1:6">
      <c r="A229" s="454" t="s">
        <v>1499</v>
      </c>
      <c r="C229" s="454" t="s">
        <v>517</v>
      </c>
      <c r="D229" s="454">
        <v>18411</v>
      </c>
      <c r="E229" s="454">
        <v>18411</v>
      </c>
      <c r="F229" s="212">
        <v>3397</v>
      </c>
    </row>
    <row r="230" spans="1:6">
      <c r="A230" s="454" t="s">
        <v>1500</v>
      </c>
      <c r="B230" s="454" t="s">
        <v>958</v>
      </c>
      <c r="C230" s="454" t="s">
        <v>66</v>
      </c>
      <c r="D230" s="454">
        <v>220583</v>
      </c>
      <c r="E230" s="454">
        <v>220585</v>
      </c>
      <c r="F230" s="212">
        <v>38377</v>
      </c>
    </row>
    <row r="231" spans="1:6">
      <c r="A231" s="454" t="s">
        <v>269</v>
      </c>
      <c r="B231" s="454" t="s">
        <v>958</v>
      </c>
      <c r="C231" s="454" t="s">
        <v>1813</v>
      </c>
      <c r="D231" s="454">
        <v>141600</v>
      </c>
      <c r="E231" s="454">
        <v>141600</v>
      </c>
      <c r="F231" s="212">
        <v>19520</v>
      </c>
    </row>
    <row r="232" spans="1:6">
      <c r="A232" s="454" t="s">
        <v>270</v>
      </c>
      <c r="B232" s="454" t="s">
        <v>958</v>
      </c>
      <c r="C232" s="454" t="s">
        <v>1814</v>
      </c>
      <c r="D232" s="454">
        <v>207429</v>
      </c>
      <c r="E232" s="454">
        <v>207429</v>
      </c>
      <c r="F232" s="212">
        <v>38254</v>
      </c>
    </row>
    <row r="233" spans="1:6">
      <c r="A233" s="454" t="s">
        <v>271</v>
      </c>
      <c r="B233" s="454" t="s">
        <v>958</v>
      </c>
      <c r="C233" s="454" t="s">
        <v>1815</v>
      </c>
      <c r="D233" s="454">
        <v>9429</v>
      </c>
      <c r="E233" s="454">
        <v>9429</v>
      </c>
      <c r="F233" s="212">
        <v>1498</v>
      </c>
    </row>
    <row r="234" spans="1:6">
      <c r="A234" s="454" t="s">
        <v>272</v>
      </c>
      <c r="B234" s="454" t="s">
        <v>958</v>
      </c>
      <c r="C234" s="454" t="s">
        <v>1816</v>
      </c>
      <c r="D234" s="454">
        <v>14426</v>
      </c>
      <c r="E234" s="454">
        <v>14426</v>
      </c>
      <c r="F234" s="212">
        <v>2639</v>
      </c>
    </row>
    <row r="235" spans="1:6">
      <c r="A235" s="454" t="s">
        <v>273</v>
      </c>
      <c r="B235" s="454" t="s">
        <v>958</v>
      </c>
      <c r="C235" s="454" t="s">
        <v>1114</v>
      </c>
      <c r="D235" s="454">
        <v>236</v>
      </c>
      <c r="E235" s="454">
        <v>236</v>
      </c>
      <c r="F235" s="212">
        <v>50</v>
      </c>
    </row>
    <row r="236" spans="1:6">
      <c r="A236" s="454" t="s">
        <v>1896</v>
      </c>
      <c r="B236" s="454" t="s">
        <v>958</v>
      </c>
      <c r="C236" s="454" t="s">
        <v>59</v>
      </c>
      <c r="D236" s="454">
        <v>184963</v>
      </c>
      <c r="E236" s="454">
        <v>184963</v>
      </c>
      <c r="F236" s="212">
        <v>0</v>
      </c>
    </row>
    <row r="237" spans="1:6">
      <c r="A237" s="454" t="s">
        <v>1897</v>
      </c>
      <c r="B237" s="454" t="s">
        <v>958</v>
      </c>
      <c r="C237" s="454" t="s">
        <v>61</v>
      </c>
      <c r="D237" s="454">
        <v>0</v>
      </c>
      <c r="E237" s="454">
        <v>0</v>
      </c>
      <c r="F237" s="212">
        <v>0</v>
      </c>
    </row>
    <row r="238" spans="1:6">
      <c r="A238" s="454" t="s">
        <v>1898</v>
      </c>
      <c r="B238" s="454" t="s">
        <v>958</v>
      </c>
      <c r="C238" s="454" t="s">
        <v>51</v>
      </c>
      <c r="D238" s="454">
        <v>15414</v>
      </c>
      <c r="E238" s="454">
        <v>15414</v>
      </c>
      <c r="F238" s="212">
        <v>0</v>
      </c>
    </row>
    <row r="239" spans="1:6">
      <c r="A239" s="454" t="s">
        <v>2367</v>
      </c>
      <c r="B239" s="454" t="s">
        <v>958</v>
      </c>
      <c r="C239" s="454" t="s">
        <v>1813</v>
      </c>
      <c r="D239" s="454">
        <v>47200</v>
      </c>
      <c r="E239" s="454">
        <v>47200</v>
      </c>
      <c r="F239" s="212">
        <v>0</v>
      </c>
    </row>
    <row r="240" spans="1:6">
      <c r="A240" s="454" t="s">
        <v>2368</v>
      </c>
      <c r="B240" s="454" t="s">
        <v>958</v>
      </c>
      <c r="C240" s="454" t="s">
        <v>1814</v>
      </c>
      <c r="D240" s="454">
        <v>40692</v>
      </c>
      <c r="E240" s="454">
        <v>40692</v>
      </c>
      <c r="F240" s="212">
        <v>0</v>
      </c>
    </row>
    <row r="241" spans="1:6">
      <c r="A241" s="454" t="s">
        <v>2369</v>
      </c>
      <c r="B241" s="454" t="s">
        <v>958</v>
      </c>
      <c r="C241" s="454" t="s">
        <v>1815</v>
      </c>
      <c r="D241" s="454">
        <v>1850</v>
      </c>
      <c r="E241" s="454">
        <v>1850</v>
      </c>
      <c r="F241" s="212">
        <v>0</v>
      </c>
    </row>
    <row r="242" spans="1:6">
      <c r="A242" s="454" t="s">
        <v>2370</v>
      </c>
      <c r="B242" s="454" t="s">
        <v>958</v>
      </c>
      <c r="C242" s="454" t="s">
        <v>1816</v>
      </c>
      <c r="D242" s="454">
        <v>2830</v>
      </c>
      <c r="E242" s="454">
        <v>2830</v>
      </c>
      <c r="F242" s="212">
        <v>0</v>
      </c>
    </row>
    <row r="243" spans="1:6">
      <c r="A243" s="454" t="s">
        <v>2371</v>
      </c>
      <c r="B243" s="454" t="s">
        <v>958</v>
      </c>
      <c r="C243" s="454" t="s">
        <v>1114</v>
      </c>
      <c r="D243" s="454">
        <v>118</v>
      </c>
      <c r="E243" s="454">
        <v>118</v>
      </c>
      <c r="F243" s="212">
        <v>0</v>
      </c>
    </row>
    <row r="244" spans="1:6">
      <c r="A244" s="454" t="s">
        <v>2372</v>
      </c>
      <c r="B244" s="454" t="s">
        <v>958</v>
      </c>
      <c r="C244" s="454" t="s">
        <v>59</v>
      </c>
      <c r="D244" s="454">
        <v>106885</v>
      </c>
      <c r="E244" s="454">
        <v>106885</v>
      </c>
      <c r="F244" s="212">
        <v>0</v>
      </c>
    </row>
    <row r="245" spans="1:6">
      <c r="A245" s="454" t="s">
        <v>2373</v>
      </c>
      <c r="B245" s="454" t="s">
        <v>958</v>
      </c>
      <c r="C245" s="454" t="s">
        <v>51</v>
      </c>
      <c r="D245" s="454">
        <v>8907</v>
      </c>
      <c r="E245" s="454">
        <v>8908</v>
      </c>
      <c r="F245" s="212">
        <v>0</v>
      </c>
    </row>
    <row r="246" spans="1:6">
      <c r="A246" s="454" t="s">
        <v>2378</v>
      </c>
      <c r="C246" s="454" t="s">
        <v>517</v>
      </c>
      <c r="D246" s="454">
        <v>8022</v>
      </c>
      <c r="E246" s="454">
        <v>8022</v>
      </c>
      <c r="F246" s="212">
        <v>0</v>
      </c>
    </row>
    <row r="247" spans="1:6">
      <c r="A247" s="454" t="s">
        <v>2374</v>
      </c>
      <c r="B247" s="454" t="s">
        <v>958</v>
      </c>
      <c r="C247" s="454" t="s">
        <v>1813</v>
      </c>
      <c r="D247" s="454">
        <v>23600</v>
      </c>
      <c r="E247" s="454">
        <v>23600</v>
      </c>
      <c r="F247" s="212">
        <v>0</v>
      </c>
    </row>
    <row r="248" spans="1:6">
      <c r="A248" s="454" t="s">
        <v>2375</v>
      </c>
      <c r="B248" s="454" t="s">
        <v>958</v>
      </c>
      <c r="C248" s="454" t="s">
        <v>1814</v>
      </c>
      <c r="D248" s="454">
        <v>23514</v>
      </c>
      <c r="E248" s="454">
        <v>23514</v>
      </c>
      <c r="F248" s="212">
        <v>0</v>
      </c>
    </row>
    <row r="249" spans="1:6">
      <c r="A249" s="454" t="s">
        <v>2376</v>
      </c>
      <c r="B249" s="454" t="s">
        <v>958</v>
      </c>
      <c r="C249" s="454" t="s">
        <v>1815</v>
      </c>
      <c r="D249" s="454">
        <v>1069</v>
      </c>
      <c r="E249" s="454">
        <v>1069</v>
      </c>
      <c r="F249" s="212">
        <v>0</v>
      </c>
    </row>
    <row r="250" spans="1:6">
      <c r="A250" s="454" t="s">
        <v>2377</v>
      </c>
      <c r="B250" s="454" t="s">
        <v>958</v>
      </c>
      <c r="C250" s="454" t="s">
        <v>1816</v>
      </c>
      <c r="D250" s="454">
        <v>1635</v>
      </c>
      <c r="E250" s="454">
        <v>1635</v>
      </c>
      <c r="F250" s="212">
        <v>0</v>
      </c>
    </row>
    <row r="251" spans="1:6">
      <c r="A251" s="454" t="s">
        <v>927</v>
      </c>
      <c r="B251" s="454" t="s">
        <v>958</v>
      </c>
      <c r="C251" s="454" t="s">
        <v>59</v>
      </c>
      <c r="D251" s="454">
        <v>5388280</v>
      </c>
      <c r="E251" s="454">
        <v>5388280</v>
      </c>
      <c r="F251" s="212">
        <v>3570098</v>
      </c>
    </row>
    <row r="252" spans="1:6">
      <c r="A252" s="454" t="s">
        <v>928</v>
      </c>
      <c r="B252" s="454" t="s">
        <v>958</v>
      </c>
      <c r="C252" s="454" t="s">
        <v>61</v>
      </c>
      <c r="D252" s="454">
        <v>0</v>
      </c>
      <c r="E252" s="454">
        <v>0</v>
      </c>
      <c r="F252" s="212">
        <v>572957</v>
      </c>
    </row>
    <row r="253" spans="1:6">
      <c r="A253" s="454" t="s">
        <v>929</v>
      </c>
      <c r="B253" s="454" t="s">
        <v>958</v>
      </c>
      <c r="C253" s="454" t="s">
        <v>51</v>
      </c>
      <c r="D253" s="454">
        <v>295366</v>
      </c>
      <c r="E253" s="454">
        <v>295366</v>
      </c>
      <c r="F253" s="212">
        <v>233941</v>
      </c>
    </row>
    <row r="254" spans="1:6">
      <c r="A254" s="454" t="s">
        <v>930</v>
      </c>
      <c r="B254" s="454" t="s">
        <v>958</v>
      </c>
      <c r="C254" s="454" t="s">
        <v>890</v>
      </c>
      <c r="D254" s="454">
        <v>0</v>
      </c>
      <c r="E254" s="454">
        <v>0</v>
      </c>
      <c r="F254" s="212">
        <v>60805</v>
      </c>
    </row>
    <row r="255" spans="1:6">
      <c r="A255" s="454" t="s">
        <v>931</v>
      </c>
      <c r="B255" s="454" t="s">
        <v>958</v>
      </c>
      <c r="C255" s="454" t="s">
        <v>364</v>
      </c>
      <c r="D255" s="454">
        <v>0</v>
      </c>
      <c r="E255" s="454">
        <v>0</v>
      </c>
      <c r="F255" s="212">
        <v>98878</v>
      </c>
    </row>
    <row r="256" spans="1:6">
      <c r="A256" s="454" t="s">
        <v>932</v>
      </c>
      <c r="B256" s="454" t="s">
        <v>958</v>
      </c>
      <c r="C256" s="454" t="s">
        <v>517</v>
      </c>
      <c r="D256" s="454">
        <v>89148</v>
      </c>
      <c r="E256" s="454">
        <v>89148</v>
      </c>
      <c r="F256" s="212">
        <v>26556</v>
      </c>
    </row>
    <row r="257" spans="1:6">
      <c r="A257" s="454" t="s">
        <v>933</v>
      </c>
      <c r="B257" s="454" t="s">
        <v>958</v>
      </c>
      <c r="C257" s="454" t="s">
        <v>66</v>
      </c>
      <c r="D257" s="454">
        <v>154523</v>
      </c>
      <c r="E257" s="454">
        <v>154523</v>
      </c>
      <c r="F257" s="212">
        <v>219347</v>
      </c>
    </row>
    <row r="258" spans="1:6">
      <c r="A258" s="454" t="s">
        <v>934</v>
      </c>
      <c r="B258" s="454" t="s">
        <v>958</v>
      </c>
      <c r="C258" s="454" t="s">
        <v>1905</v>
      </c>
      <c r="D258" s="454">
        <v>0</v>
      </c>
      <c r="E258" s="454">
        <v>0</v>
      </c>
      <c r="F258" s="212">
        <v>770</v>
      </c>
    </row>
    <row r="259" spans="1:6">
      <c r="A259" s="454" t="s">
        <v>935</v>
      </c>
      <c r="B259" s="454" t="s">
        <v>958</v>
      </c>
      <c r="C259" s="454" t="s">
        <v>1813</v>
      </c>
      <c r="D259" s="454">
        <v>306801</v>
      </c>
      <c r="E259" s="454">
        <v>306801</v>
      </c>
      <c r="F259" s="212">
        <v>181785</v>
      </c>
    </row>
    <row r="260" spans="1:6">
      <c r="A260" s="454" t="s">
        <v>936</v>
      </c>
      <c r="B260" s="454" t="s">
        <v>958</v>
      </c>
      <c r="C260" s="454" t="s">
        <v>1814</v>
      </c>
      <c r="D260" s="454">
        <v>782793</v>
      </c>
      <c r="E260" s="454">
        <v>782793</v>
      </c>
      <c r="F260" s="212">
        <v>678953</v>
      </c>
    </row>
    <row r="261" spans="1:6">
      <c r="A261" s="454" t="s">
        <v>937</v>
      </c>
      <c r="B261" s="454" t="s">
        <v>958</v>
      </c>
      <c r="C261" s="454" t="s">
        <v>1815</v>
      </c>
      <c r="D261" s="454">
        <v>35444</v>
      </c>
      <c r="E261" s="454">
        <v>35444</v>
      </c>
      <c r="F261" s="212">
        <v>36179</v>
      </c>
    </row>
    <row r="262" spans="1:6">
      <c r="A262" s="454" t="s">
        <v>938</v>
      </c>
      <c r="B262" s="454" t="s">
        <v>958</v>
      </c>
      <c r="C262" s="454" t="s">
        <v>394</v>
      </c>
      <c r="D262" s="454">
        <v>54230</v>
      </c>
      <c r="E262" s="454">
        <v>54230</v>
      </c>
      <c r="F262" s="212">
        <v>37399</v>
      </c>
    </row>
    <row r="263" spans="1:6">
      <c r="A263" s="454" t="s">
        <v>939</v>
      </c>
      <c r="B263" s="454" t="s">
        <v>958</v>
      </c>
      <c r="C263" s="454" t="s">
        <v>1114</v>
      </c>
      <c r="D263" s="454">
        <v>904</v>
      </c>
      <c r="E263" s="454">
        <v>904</v>
      </c>
      <c r="F263" s="212">
        <v>1595</v>
      </c>
    </row>
    <row r="264" spans="1:6" ht="13.5" thickBot="1">
      <c r="D264" s="860">
        <f>SUM(D89:D263)</f>
        <v>41828879</v>
      </c>
      <c r="E264" s="860">
        <f>SUM(E88:E263)</f>
        <v>41828892</v>
      </c>
      <c r="F264" s="860">
        <f>SUM(F88:F263)</f>
        <v>32479757</v>
      </c>
    </row>
    <row r="265" spans="1:6" ht="13.5" thickTop="1"/>
    <row r="268" spans="1:6">
      <c r="D268" s="457" t="s">
        <v>2337</v>
      </c>
      <c r="E268" s="457" t="s">
        <v>2338</v>
      </c>
      <c r="F268" s="457" t="s">
        <v>2339</v>
      </c>
    </row>
    <row r="269" spans="1:6">
      <c r="A269" s="454" t="s">
        <v>384</v>
      </c>
      <c r="B269" s="454" t="s">
        <v>959</v>
      </c>
      <c r="C269" s="454" t="s">
        <v>1815</v>
      </c>
      <c r="D269" s="454">
        <v>0</v>
      </c>
      <c r="E269" s="454">
        <v>0</v>
      </c>
      <c r="F269" s="212">
        <v>0</v>
      </c>
    </row>
    <row r="270" spans="1:6">
      <c r="A270" s="454" t="s">
        <v>387</v>
      </c>
      <c r="B270" s="454" t="s">
        <v>959</v>
      </c>
      <c r="C270" s="454" t="s">
        <v>388</v>
      </c>
      <c r="D270" s="454">
        <v>395442</v>
      </c>
      <c r="E270" s="454">
        <v>395442</v>
      </c>
      <c r="F270" s="212">
        <v>589556</v>
      </c>
    </row>
    <row r="271" spans="1:6">
      <c r="A271" s="454" t="s">
        <v>1471</v>
      </c>
      <c r="B271" s="454" t="s">
        <v>959</v>
      </c>
      <c r="C271" s="454" t="s">
        <v>388</v>
      </c>
      <c r="D271" s="454">
        <v>296582</v>
      </c>
      <c r="E271" s="454">
        <v>296582</v>
      </c>
      <c r="F271" s="212">
        <v>447551</v>
      </c>
    </row>
    <row r="272" spans="1:6">
      <c r="A272" s="454" t="s">
        <v>390</v>
      </c>
      <c r="B272" s="454" t="s">
        <v>959</v>
      </c>
      <c r="C272" s="454" t="s">
        <v>388</v>
      </c>
      <c r="D272" s="454">
        <v>1067685</v>
      </c>
      <c r="E272" s="454">
        <v>1067685</v>
      </c>
      <c r="F272" s="212">
        <v>1172283</v>
      </c>
    </row>
    <row r="273" spans="1:6">
      <c r="A273" s="454" t="s">
        <v>391</v>
      </c>
      <c r="B273" s="454" t="s">
        <v>959</v>
      </c>
      <c r="C273" s="454" t="s">
        <v>366</v>
      </c>
      <c r="D273" s="454">
        <v>586569</v>
      </c>
      <c r="E273" s="454">
        <v>586569</v>
      </c>
      <c r="F273" s="212">
        <v>390764</v>
      </c>
    </row>
    <row r="274" spans="1:6">
      <c r="A274" s="454" t="s">
        <v>392</v>
      </c>
      <c r="B274" s="454" t="s">
        <v>959</v>
      </c>
      <c r="C274" s="454" t="s">
        <v>366</v>
      </c>
      <c r="D274" s="454">
        <v>157715</v>
      </c>
      <c r="E274" s="454">
        <v>157715</v>
      </c>
      <c r="F274" s="212">
        <v>100119</v>
      </c>
    </row>
    <row r="275" spans="1:6">
      <c r="A275" s="454" t="s">
        <v>393</v>
      </c>
      <c r="B275" s="454" t="s">
        <v>959</v>
      </c>
      <c r="C275" s="454" t="s">
        <v>394</v>
      </c>
      <c r="D275" s="454">
        <v>263955</v>
      </c>
      <c r="E275" s="454">
        <v>263955</v>
      </c>
      <c r="F275" s="212">
        <v>271649</v>
      </c>
    </row>
    <row r="276" spans="1:6" ht="13.5" thickBot="1">
      <c r="D276" s="860">
        <f>SUM(D269:D275)</f>
        <v>2767948</v>
      </c>
      <c r="E276" s="860">
        <f>SUM(E269:E275)</f>
        <v>2767948</v>
      </c>
      <c r="F276" s="860">
        <f>SUM(F269:F275)</f>
        <v>2971922</v>
      </c>
    </row>
    <row r="277" spans="1:6" ht="13.5" thickTop="1">
      <c r="F277" s="212"/>
    </row>
    <row r="278" spans="1:6">
      <c r="A278" s="454" t="s">
        <v>395</v>
      </c>
      <c r="B278" s="454" t="s">
        <v>960</v>
      </c>
      <c r="C278" s="454" t="s">
        <v>396</v>
      </c>
      <c r="D278" s="454">
        <v>3360938</v>
      </c>
      <c r="E278" s="454">
        <v>3360938</v>
      </c>
      <c r="F278" s="454">
        <v>3360938</v>
      </c>
    </row>
    <row r="279" spans="1:6">
      <c r="A279" s="454" t="s">
        <v>178</v>
      </c>
      <c r="B279" s="454" t="s">
        <v>960</v>
      </c>
      <c r="C279" s="454" t="s">
        <v>396</v>
      </c>
      <c r="D279" s="454">
        <v>387195</v>
      </c>
      <c r="E279" s="454">
        <v>387195</v>
      </c>
      <c r="F279" s="454">
        <v>387195</v>
      </c>
    </row>
    <row r="280" spans="1:6">
      <c r="A280" s="454" t="s">
        <v>863</v>
      </c>
      <c r="B280" s="454" t="s">
        <v>960</v>
      </c>
      <c r="C280" s="454" t="s">
        <v>396</v>
      </c>
      <c r="D280" s="454">
        <v>77320</v>
      </c>
      <c r="E280" s="454">
        <v>77320</v>
      </c>
      <c r="F280" s="454">
        <v>77320</v>
      </c>
    </row>
    <row r="281" spans="1:6">
      <c r="A281" s="454" t="s">
        <v>896</v>
      </c>
      <c r="B281" s="454" t="s">
        <v>960</v>
      </c>
      <c r="C281" s="454" t="s">
        <v>396</v>
      </c>
      <c r="D281" s="454">
        <v>1686890</v>
      </c>
      <c r="E281" s="454">
        <v>1686890</v>
      </c>
      <c r="F281" s="454">
        <v>1686890</v>
      </c>
    </row>
    <row r="282" spans="1:6">
      <c r="A282" s="454" t="s">
        <v>236</v>
      </c>
      <c r="B282" s="454" t="s">
        <v>960</v>
      </c>
      <c r="C282" s="454" t="s">
        <v>396</v>
      </c>
      <c r="D282" s="454">
        <v>899663</v>
      </c>
      <c r="E282" s="454">
        <v>899663</v>
      </c>
      <c r="F282" s="454">
        <v>899663</v>
      </c>
    </row>
    <row r="283" spans="1:6">
      <c r="A283" s="454" t="s">
        <v>940</v>
      </c>
      <c r="B283" s="454" t="s">
        <v>960</v>
      </c>
      <c r="C283" s="454" t="s">
        <v>396</v>
      </c>
      <c r="D283" s="454">
        <v>13674</v>
      </c>
      <c r="E283" s="454">
        <v>13674</v>
      </c>
      <c r="F283" s="454">
        <v>13674</v>
      </c>
    </row>
    <row r="284" spans="1:6" ht="13.5" thickBot="1">
      <c r="A284" s="363"/>
      <c r="B284" s="363"/>
      <c r="C284" s="363"/>
      <c r="D284" s="860">
        <f>SUM(D278:D283)</f>
        <v>6425680</v>
      </c>
      <c r="E284" s="860">
        <f>SUM(E278:E283)</f>
        <v>6425680</v>
      </c>
      <c r="F284" s="860">
        <f>SUM(F278:F283)</f>
        <v>6425680</v>
      </c>
    </row>
    <row r="285" spans="1:6" ht="13.5" thickTop="1">
      <c r="A285" s="363"/>
      <c r="B285" s="363"/>
      <c r="C285" s="363"/>
      <c r="D285" s="1036"/>
      <c r="E285" s="1037"/>
      <c r="F285" s="1037"/>
    </row>
    <row r="286" spans="1:6">
      <c r="A286" s="363"/>
      <c r="B286" s="363"/>
      <c r="C286" s="363"/>
      <c r="D286" s="1036"/>
      <c r="E286" s="1037"/>
      <c r="F286" s="1037"/>
    </row>
    <row r="287" spans="1:6">
      <c r="A287" s="363"/>
      <c r="B287" s="363"/>
      <c r="C287" s="363"/>
      <c r="D287" s="1036"/>
      <c r="E287" s="1037"/>
      <c r="F287" s="1037"/>
    </row>
    <row r="288" spans="1:6">
      <c r="A288" s="454" t="s">
        <v>1784</v>
      </c>
      <c r="B288" s="454" t="s">
        <v>963</v>
      </c>
      <c r="C288" s="454" t="s">
        <v>396</v>
      </c>
      <c r="D288" s="454">
        <v>13125982</v>
      </c>
      <c r="E288" s="454">
        <v>1136072</v>
      </c>
      <c r="F288" s="1037">
        <v>1136072</v>
      </c>
    </row>
    <row r="289" spans="1:7" ht="13.5" thickBot="1">
      <c r="A289" s="363"/>
      <c r="B289" s="363"/>
      <c r="C289" s="363"/>
      <c r="D289" s="860">
        <f>SUM(D288)</f>
        <v>13125982</v>
      </c>
      <c r="E289" s="860">
        <f>SUM(E288)</f>
        <v>1136072</v>
      </c>
      <c r="F289" s="860">
        <f t="shared" ref="F289" si="16">SUM(F288)</f>
        <v>1136072</v>
      </c>
    </row>
    <row r="290" spans="1:7" ht="13.5" thickTop="1">
      <c r="A290" s="363"/>
      <c r="B290" s="363"/>
      <c r="C290" s="363"/>
      <c r="D290" s="1036"/>
      <c r="E290" s="1037"/>
      <c r="F290" s="1037"/>
    </row>
    <row r="291" spans="1:7">
      <c r="A291" s="363"/>
      <c r="B291" s="363"/>
      <c r="C291" s="363"/>
      <c r="D291" s="1036"/>
      <c r="E291" s="1037"/>
      <c r="F291" s="1037"/>
    </row>
    <row r="292" spans="1:7">
      <c r="A292" s="454" t="s">
        <v>2401</v>
      </c>
      <c r="B292" s="454" t="s">
        <v>15</v>
      </c>
      <c r="C292" s="454" t="s">
        <v>1066</v>
      </c>
      <c r="D292" s="1036">
        <v>0</v>
      </c>
      <c r="E292" s="1037">
        <v>0</v>
      </c>
      <c r="F292" s="1037">
        <v>19277</v>
      </c>
      <c r="G292" s="454">
        <f>'Appendix E(1)'!B38</f>
        <v>16527.14</v>
      </c>
    </row>
    <row r="293" spans="1:7" ht="13.5" thickBot="1">
      <c r="A293" s="363"/>
      <c r="B293" s="363"/>
      <c r="C293" s="363"/>
      <c r="D293" s="860">
        <f>SUM(D292)</f>
        <v>0</v>
      </c>
      <c r="E293" s="860">
        <f t="shared" ref="E293:F293" si="17">SUM(E292)</f>
        <v>0</v>
      </c>
      <c r="F293" s="860">
        <f t="shared" si="17"/>
        <v>19277</v>
      </c>
    </row>
    <row r="294" spans="1:7" ht="13.5" thickTop="1">
      <c r="A294" s="363"/>
      <c r="B294" s="363"/>
      <c r="C294" s="363"/>
      <c r="D294" s="1036"/>
      <c r="E294" s="1037"/>
      <c r="F294" s="1037"/>
    </row>
    <row r="295" spans="1:7">
      <c r="A295" s="363"/>
      <c r="B295" s="363"/>
      <c r="C295" s="363"/>
      <c r="D295" s="1036"/>
      <c r="E295" s="1037"/>
      <c r="F295" s="1037"/>
    </row>
    <row r="296" spans="1:7">
      <c r="A296" s="363"/>
      <c r="B296" s="363"/>
      <c r="C296" s="363"/>
      <c r="D296" s="1036"/>
      <c r="E296" s="1037"/>
      <c r="F296" s="1037"/>
    </row>
    <row r="297" spans="1:7">
      <c r="A297" s="363"/>
      <c r="B297" s="363"/>
      <c r="C297" s="363"/>
      <c r="D297" s="1036"/>
      <c r="E297" s="1037"/>
      <c r="F297" s="1037"/>
    </row>
    <row r="298" spans="1:7">
      <c r="A298" s="454" t="s">
        <v>397</v>
      </c>
      <c r="B298" s="454" t="s">
        <v>961</v>
      </c>
      <c r="C298" s="454" t="s">
        <v>1312</v>
      </c>
      <c r="D298" s="454">
        <v>80750</v>
      </c>
      <c r="E298" s="454">
        <v>80750</v>
      </c>
      <c r="F298" s="212">
        <v>44303</v>
      </c>
    </row>
    <row r="299" spans="1:7">
      <c r="A299" s="454" t="s">
        <v>2386</v>
      </c>
      <c r="B299" s="454" t="s">
        <v>961</v>
      </c>
      <c r="C299" s="454" t="s">
        <v>56</v>
      </c>
      <c r="D299" s="454">
        <v>950000</v>
      </c>
      <c r="E299" s="454">
        <v>700000</v>
      </c>
      <c r="F299" s="212">
        <v>399230</v>
      </c>
    </row>
    <row r="300" spans="1:7">
      <c r="A300" s="454" t="s">
        <v>398</v>
      </c>
      <c r="B300" s="454" t="s">
        <v>961</v>
      </c>
      <c r="C300" s="454" t="s">
        <v>399</v>
      </c>
      <c r="D300" s="454">
        <v>22800</v>
      </c>
      <c r="E300" s="454">
        <v>22800</v>
      </c>
      <c r="F300" s="212">
        <v>36534</v>
      </c>
    </row>
    <row r="301" spans="1:7">
      <c r="A301" s="454" t="s">
        <v>75</v>
      </c>
      <c r="B301" s="454" t="s">
        <v>961</v>
      </c>
      <c r="C301" s="454" t="s">
        <v>399</v>
      </c>
      <c r="D301" s="454">
        <v>285</v>
      </c>
      <c r="E301" s="454">
        <v>285</v>
      </c>
      <c r="F301" s="212">
        <v>0</v>
      </c>
    </row>
    <row r="302" spans="1:7">
      <c r="A302" s="454" t="s">
        <v>103</v>
      </c>
      <c r="B302" s="454" t="s">
        <v>961</v>
      </c>
      <c r="C302" s="454" t="s">
        <v>399</v>
      </c>
      <c r="D302" s="454">
        <v>205</v>
      </c>
      <c r="E302" s="454">
        <v>205</v>
      </c>
      <c r="F302" s="212">
        <v>0</v>
      </c>
    </row>
    <row r="303" spans="1:7">
      <c r="A303" s="454" t="s">
        <v>133</v>
      </c>
      <c r="B303" s="454" t="s">
        <v>961</v>
      </c>
      <c r="C303" s="454" t="s">
        <v>399</v>
      </c>
      <c r="D303" s="454">
        <v>9500</v>
      </c>
      <c r="E303" s="454">
        <v>9500</v>
      </c>
      <c r="F303" s="212">
        <v>0</v>
      </c>
    </row>
    <row r="304" spans="1:7" s="457" customFormat="1">
      <c r="A304" s="454" t="s">
        <v>153</v>
      </c>
      <c r="B304" s="454" t="s">
        <v>961</v>
      </c>
      <c r="C304" s="454" t="s">
        <v>1305</v>
      </c>
      <c r="D304" s="454">
        <v>4750</v>
      </c>
      <c r="E304" s="454">
        <v>4750</v>
      </c>
      <c r="F304" s="212">
        <v>0</v>
      </c>
    </row>
    <row r="305" spans="1:6" s="457" customFormat="1">
      <c r="A305" s="454" t="s">
        <v>154</v>
      </c>
      <c r="B305" s="454" t="s">
        <v>961</v>
      </c>
      <c r="C305" s="454" t="s">
        <v>366</v>
      </c>
      <c r="D305" s="454">
        <v>1607</v>
      </c>
      <c r="E305" s="454">
        <v>1607</v>
      </c>
      <c r="F305" s="212">
        <v>508</v>
      </c>
    </row>
    <row r="306" spans="1:6">
      <c r="A306" s="454" t="s">
        <v>179</v>
      </c>
      <c r="B306" s="454" t="s">
        <v>961</v>
      </c>
      <c r="C306" s="454" t="s">
        <v>1305</v>
      </c>
      <c r="D306" s="454">
        <v>28500</v>
      </c>
      <c r="E306" s="454">
        <v>28500</v>
      </c>
      <c r="F306" s="212">
        <v>958</v>
      </c>
    </row>
    <row r="307" spans="1:6">
      <c r="A307" s="454" t="s">
        <v>736</v>
      </c>
      <c r="B307" s="454" t="s">
        <v>961</v>
      </c>
      <c r="C307" s="454" t="s">
        <v>737</v>
      </c>
      <c r="D307" s="454">
        <v>11880</v>
      </c>
      <c r="E307" s="454">
        <v>11880</v>
      </c>
      <c r="F307" s="212">
        <v>7620</v>
      </c>
    </row>
    <row r="308" spans="1:6">
      <c r="A308" s="454" t="s">
        <v>864</v>
      </c>
      <c r="B308" s="454" t="s">
        <v>961</v>
      </c>
      <c r="C308" s="454" t="s">
        <v>399</v>
      </c>
      <c r="D308" s="454">
        <v>94511</v>
      </c>
      <c r="E308" s="454">
        <v>94511</v>
      </c>
      <c r="F308" s="212">
        <v>76328</v>
      </c>
    </row>
    <row r="309" spans="1:6">
      <c r="A309" s="454" t="s">
        <v>865</v>
      </c>
      <c r="B309" s="454" t="s">
        <v>961</v>
      </c>
      <c r="C309" s="454" t="s">
        <v>366</v>
      </c>
      <c r="D309" s="454">
        <v>14977</v>
      </c>
      <c r="E309" s="454">
        <v>14977</v>
      </c>
      <c r="F309" s="212">
        <v>0</v>
      </c>
    </row>
    <row r="310" spans="1:6">
      <c r="A310" s="454" t="s">
        <v>866</v>
      </c>
      <c r="B310" s="454" t="s">
        <v>961</v>
      </c>
      <c r="C310" s="454" t="s">
        <v>366</v>
      </c>
      <c r="D310" s="454">
        <v>37442</v>
      </c>
      <c r="E310" s="454">
        <v>37442</v>
      </c>
      <c r="F310" s="212">
        <v>4199</v>
      </c>
    </row>
    <row r="311" spans="1:6">
      <c r="A311" s="454" t="s">
        <v>882</v>
      </c>
      <c r="B311" s="454" t="s">
        <v>961</v>
      </c>
      <c r="C311" s="454" t="s">
        <v>366</v>
      </c>
      <c r="D311" s="454">
        <v>2669</v>
      </c>
      <c r="E311" s="454">
        <v>2669</v>
      </c>
      <c r="F311" s="212">
        <v>0</v>
      </c>
    </row>
    <row r="312" spans="1:6">
      <c r="A312" s="454" t="s">
        <v>1139</v>
      </c>
      <c r="B312" s="454" t="s">
        <v>961</v>
      </c>
      <c r="C312" s="454" t="s">
        <v>399</v>
      </c>
      <c r="D312" s="454">
        <v>94050</v>
      </c>
      <c r="E312" s="454">
        <v>94050</v>
      </c>
      <c r="F312" s="212">
        <v>104303</v>
      </c>
    </row>
    <row r="313" spans="1:6">
      <c r="A313" s="454" t="s">
        <v>749</v>
      </c>
      <c r="B313" s="454" t="s">
        <v>961</v>
      </c>
      <c r="C313" s="454" t="s">
        <v>750</v>
      </c>
      <c r="D313" s="454">
        <v>10042</v>
      </c>
      <c r="E313" s="454">
        <v>10042</v>
      </c>
      <c r="F313" s="212">
        <v>0</v>
      </c>
    </row>
    <row r="314" spans="1:6">
      <c r="A314" s="454" t="s">
        <v>751</v>
      </c>
      <c r="B314" s="454" t="s">
        <v>961</v>
      </c>
      <c r="C314" s="454" t="s">
        <v>750</v>
      </c>
      <c r="D314" s="454">
        <v>57166</v>
      </c>
      <c r="E314" s="454">
        <v>57166</v>
      </c>
      <c r="F314" s="212">
        <v>13559</v>
      </c>
    </row>
    <row r="315" spans="1:6">
      <c r="A315" s="454" t="s">
        <v>2363</v>
      </c>
      <c r="B315" s="454" t="s">
        <v>961</v>
      </c>
      <c r="C315" s="454" t="s">
        <v>79</v>
      </c>
      <c r="D315" s="454">
        <v>1347480</v>
      </c>
      <c r="E315" s="454">
        <v>1347480</v>
      </c>
      <c r="F315" s="212">
        <v>176040</v>
      </c>
    </row>
    <row r="316" spans="1:6">
      <c r="A316" s="454" t="s">
        <v>1786</v>
      </c>
      <c r="C316" s="454" t="s">
        <v>2396</v>
      </c>
      <c r="F316" s="212">
        <v>666718</v>
      </c>
    </row>
    <row r="317" spans="1:6">
      <c r="A317" s="454" t="s">
        <v>1394</v>
      </c>
      <c r="B317" s="454" t="s">
        <v>961</v>
      </c>
      <c r="C317" s="454" t="s">
        <v>1305</v>
      </c>
      <c r="D317" s="454">
        <v>9664</v>
      </c>
      <c r="E317" s="454">
        <v>9664</v>
      </c>
      <c r="F317" s="212">
        <v>3380</v>
      </c>
    </row>
    <row r="318" spans="1:6">
      <c r="A318" s="454" t="s">
        <v>1395</v>
      </c>
      <c r="B318" s="454" t="s">
        <v>961</v>
      </c>
      <c r="C318" s="454" t="s">
        <v>399</v>
      </c>
      <c r="D318" s="454">
        <v>3426</v>
      </c>
      <c r="E318" s="454">
        <v>3426</v>
      </c>
      <c r="F318" s="212">
        <v>548</v>
      </c>
    </row>
    <row r="319" spans="1:6">
      <c r="A319" s="454" t="s">
        <v>1396</v>
      </c>
      <c r="B319" s="454" t="s">
        <v>961</v>
      </c>
      <c r="C319" s="454" t="s">
        <v>366</v>
      </c>
      <c r="D319" s="454">
        <v>8187</v>
      </c>
      <c r="E319" s="454">
        <v>8187</v>
      </c>
      <c r="F319" s="212">
        <v>128</v>
      </c>
    </row>
    <row r="320" spans="1:6">
      <c r="A320" s="454" t="s">
        <v>1421</v>
      </c>
      <c r="B320" s="454" t="s">
        <v>961</v>
      </c>
      <c r="C320" s="454" t="s">
        <v>399</v>
      </c>
      <c r="D320" s="454">
        <v>102422</v>
      </c>
      <c r="E320" s="454">
        <v>802422</v>
      </c>
      <c r="F320" s="212">
        <v>1205926</v>
      </c>
    </row>
    <row r="321" spans="1:6">
      <c r="A321" s="454" t="s">
        <v>1422</v>
      </c>
      <c r="B321" s="454" t="s">
        <v>961</v>
      </c>
      <c r="C321" s="454" t="s">
        <v>1423</v>
      </c>
      <c r="D321" s="454">
        <v>15612000</v>
      </c>
      <c r="E321" s="454">
        <v>3134360</v>
      </c>
      <c r="F321" s="212">
        <v>29166</v>
      </c>
    </row>
    <row r="322" spans="1:6">
      <c r="A322" s="454" t="s">
        <v>1424</v>
      </c>
      <c r="B322" s="454" t="s">
        <v>961</v>
      </c>
      <c r="C322" s="454" t="s">
        <v>1425</v>
      </c>
      <c r="D322" s="454">
        <v>29355</v>
      </c>
      <c r="E322" s="454">
        <v>29355</v>
      </c>
      <c r="F322" s="212">
        <v>3571</v>
      </c>
    </row>
    <row r="323" spans="1:6">
      <c r="A323" s="454" t="s">
        <v>1426</v>
      </c>
      <c r="B323" s="454" t="s">
        <v>961</v>
      </c>
      <c r="C323" s="454" t="s">
        <v>366</v>
      </c>
      <c r="D323" s="454">
        <v>5022</v>
      </c>
      <c r="E323" s="454">
        <v>5022</v>
      </c>
      <c r="F323" s="212">
        <v>0</v>
      </c>
    </row>
    <row r="324" spans="1:6">
      <c r="A324" s="454" t="s">
        <v>1427</v>
      </c>
      <c r="B324" s="454" t="s">
        <v>961</v>
      </c>
      <c r="C324" s="454" t="s">
        <v>366</v>
      </c>
      <c r="D324" s="454">
        <v>38823</v>
      </c>
      <c r="E324" s="454">
        <v>38823</v>
      </c>
      <c r="F324" s="212">
        <v>54986</v>
      </c>
    </row>
    <row r="325" spans="1:6">
      <c r="A325" s="454" t="s">
        <v>1172</v>
      </c>
      <c r="B325" s="454" t="s">
        <v>961</v>
      </c>
      <c r="C325" s="454" t="s">
        <v>399</v>
      </c>
      <c r="D325" s="454">
        <v>16150</v>
      </c>
      <c r="E325" s="454">
        <v>16150</v>
      </c>
      <c r="F325" s="212">
        <v>27854</v>
      </c>
    </row>
    <row r="326" spans="1:6">
      <c r="A326" s="454" t="s">
        <v>1173</v>
      </c>
      <c r="B326" s="454" t="s">
        <v>961</v>
      </c>
      <c r="C326" s="454" t="s">
        <v>366</v>
      </c>
      <c r="D326" s="454">
        <v>205288</v>
      </c>
      <c r="E326" s="454">
        <v>205288</v>
      </c>
      <c r="F326" s="212">
        <v>37581</v>
      </c>
    </row>
    <row r="327" spans="1:6">
      <c r="A327" s="454" t="s">
        <v>237</v>
      </c>
      <c r="B327" s="454" t="s">
        <v>961</v>
      </c>
      <c r="C327" s="454" t="s">
        <v>399</v>
      </c>
      <c r="D327" s="454">
        <v>15497</v>
      </c>
      <c r="E327" s="454">
        <v>15497</v>
      </c>
      <c r="F327" s="212">
        <v>18093</v>
      </c>
    </row>
    <row r="328" spans="1:6">
      <c r="A328" s="454" t="s">
        <v>238</v>
      </c>
      <c r="B328" s="454" t="s">
        <v>961</v>
      </c>
      <c r="C328" s="454" t="s">
        <v>239</v>
      </c>
      <c r="D328" s="454">
        <v>1060037</v>
      </c>
      <c r="E328" s="454">
        <v>1060037</v>
      </c>
      <c r="F328" s="212">
        <v>1261091</v>
      </c>
    </row>
    <row r="329" spans="1:6">
      <c r="A329" s="454" t="s">
        <v>240</v>
      </c>
      <c r="B329" s="454" t="s">
        <v>961</v>
      </c>
      <c r="C329" s="454" t="s">
        <v>366</v>
      </c>
      <c r="D329" s="454">
        <v>4469</v>
      </c>
      <c r="E329" s="454">
        <v>4469</v>
      </c>
      <c r="F329" s="212">
        <v>0</v>
      </c>
    </row>
    <row r="330" spans="1:6">
      <c r="A330" s="454" t="s">
        <v>241</v>
      </c>
      <c r="B330" s="454" t="s">
        <v>961</v>
      </c>
      <c r="C330" s="454" t="s">
        <v>366</v>
      </c>
      <c r="D330" s="454">
        <v>32416</v>
      </c>
      <c r="E330" s="454">
        <v>32416</v>
      </c>
      <c r="F330" s="212">
        <v>13249</v>
      </c>
    </row>
    <row r="331" spans="1:6">
      <c r="A331" s="454" t="s">
        <v>254</v>
      </c>
      <c r="B331" s="454" t="s">
        <v>961</v>
      </c>
      <c r="C331" s="454" t="s">
        <v>399</v>
      </c>
      <c r="D331" s="454">
        <v>6205</v>
      </c>
      <c r="E331" s="454">
        <v>6205</v>
      </c>
      <c r="F331" s="212">
        <v>0</v>
      </c>
    </row>
    <row r="332" spans="1:6">
      <c r="A332" s="454" t="s">
        <v>255</v>
      </c>
      <c r="B332" s="454" t="s">
        <v>961</v>
      </c>
      <c r="C332" s="454" t="s">
        <v>1307</v>
      </c>
      <c r="D332" s="454">
        <v>18618</v>
      </c>
      <c r="E332" s="454">
        <v>18618</v>
      </c>
      <c r="F332" s="212">
        <v>567</v>
      </c>
    </row>
    <row r="333" spans="1:6">
      <c r="A333" s="454" t="s">
        <v>262</v>
      </c>
      <c r="B333" s="454" t="s">
        <v>961</v>
      </c>
      <c r="C333" s="454" t="s">
        <v>366</v>
      </c>
      <c r="D333" s="454">
        <v>770</v>
      </c>
      <c r="E333" s="454">
        <v>770</v>
      </c>
      <c r="F333" s="212">
        <v>0</v>
      </c>
    </row>
    <row r="334" spans="1:6">
      <c r="A334" s="454" t="s">
        <v>941</v>
      </c>
      <c r="B334" s="454" t="s">
        <v>961</v>
      </c>
      <c r="C334" s="454" t="s">
        <v>399</v>
      </c>
      <c r="D334" s="454">
        <v>19000</v>
      </c>
      <c r="E334" s="454">
        <v>19000</v>
      </c>
      <c r="F334" s="212">
        <v>3437</v>
      </c>
    </row>
    <row r="335" spans="1:6">
      <c r="A335" s="454" t="s">
        <v>942</v>
      </c>
      <c r="B335" s="454" t="s">
        <v>961</v>
      </c>
      <c r="C335" s="454" t="s">
        <v>784</v>
      </c>
      <c r="D335" s="454">
        <v>142500</v>
      </c>
      <c r="E335" s="454">
        <v>142500</v>
      </c>
      <c r="F335" s="212">
        <v>32463</v>
      </c>
    </row>
    <row r="336" spans="1:6">
      <c r="A336" s="454" t="s">
        <v>944</v>
      </c>
      <c r="B336" s="454" t="s">
        <v>961</v>
      </c>
      <c r="C336" s="454" t="s">
        <v>366</v>
      </c>
      <c r="D336" s="454">
        <v>28500</v>
      </c>
      <c r="E336" s="454">
        <v>28500</v>
      </c>
      <c r="F336" s="212">
        <v>24598</v>
      </c>
    </row>
    <row r="337" spans="1:6" ht="13.5" thickBot="1">
      <c r="D337" s="860">
        <f>SUM(D298:D336)</f>
        <v>20126963</v>
      </c>
      <c r="E337" s="860">
        <f>SUM(E298:E336)</f>
        <v>8099323</v>
      </c>
      <c r="F337" s="860">
        <f>SUM(F298:F336)</f>
        <v>4246938</v>
      </c>
    </row>
    <row r="338" spans="1:6" ht="13.5" thickTop="1"/>
    <row r="340" spans="1:6">
      <c r="A340" s="454" t="s">
        <v>2365</v>
      </c>
      <c r="B340" s="454" t="s">
        <v>13</v>
      </c>
      <c r="C340" s="454" t="s">
        <v>244</v>
      </c>
      <c r="D340" s="454">
        <v>24035000</v>
      </c>
      <c r="E340" s="454">
        <v>34435000</v>
      </c>
      <c r="F340" s="454">
        <f>37019393-821+410</f>
        <v>37018982</v>
      </c>
    </row>
    <row r="341" spans="1:6">
      <c r="A341" s="454" t="s">
        <v>2400</v>
      </c>
      <c r="B341" s="454" t="s">
        <v>13</v>
      </c>
      <c r="C341" s="454" t="s">
        <v>244</v>
      </c>
      <c r="D341" s="454">
        <v>352977</v>
      </c>
      <c r="E341" s="454">
        <v>352977</v>
      </c>
      <c r="F341" s="212">
        <v>0</v>
      </c>
    </row>
    <row r="342" spans="1:6" ht="13.5" thickBot="1">
      <c r="D342" s="860">
        <f>SUM(D340:D341)</f>
        <v>24387977</v>
      </c>
      <c r="E342" s="860">
        <f>SUM(E340:E341)</f>
        <v>34787977</v>
      </c>
      <c r="F342" s="860">
        <f>SUM(F340:F341)</f>
        <v>37018982</v>
      </c>
    </row>
    <row r="343" spans="1:6" ht="13.5" thickTop="1"/>
    <row r="345" spans="1:6">
      <c r="A345" s="454" t="s">
        <v>402</v>
      </c>
      <c r="B345" s="454" t="s">
        <v>14</v>
      </c>
      <c r="C345" s="454" t="s">
        <v>403</v>
      </c>
      <c r="D345" s="454">
        <v>3000000</v>
      </c>
      <c r="E345" s="454">
        <v>3000000</v>
      </c>
      <c r="F345" s="454">
        <v>2290430</v>
      </c>
    </row>
    <row r="346" spans="1:6" ht="13.5" thickBot="1">
      <c r="D346" s="860">
        <f>SUM(D345)</f>
        <v>3000000</v>
      </c>
      <c r="E346" s="860">
        <f>SUM(E345)</f>
        <v>3000000</v>
      </c>
      <c r="F346" s="860">
        <f t="shared" ref="F346" si="18">SUM(F345)</f>
        <v>2290430</v>
      </c>
    </row>
    <row r="347" spans="1:6" ht="13.5" thickTop="1"/>
    <row r="348" spans="1:6">
      <c r="A348" s="454" t="s">
        <v>1513</v>
      </c>
      <c r="B348" s="454" t="s">
        <v>962</v>
      </c>
      <c r="C348" s="454" t="s">
        <v>1842</v>
      </c>
      <c r="D348" s="454">
        <v>0</v>
      </c>
      <c r="E348" s="454">
        <v>0</v>
      </c>
      <c r="F348" s="454">
        <v>0</v>
      </c>
    </row>
    <row r="349" spans="1:6">
      <c r="A349" s="454" t="s">
        <v>1489</v>
      </c>
      <c r="B349" s="454" t="s">
        <v>962</v>
      </c>
      <c r="C349" s="454" t="s">
        <v>1842</v>
      </c>
      <c r="D349" s="454">
        <v>0</v>
      </c>
      <c r="E349" s="454">
        <v>0</v>
      </c>
      <c r="F349" s="454">
        <v>0</v>
      </c>
    </row>
    <row r="350" spans="1:6" ht="13.5" thickBot="1">
      <c r="D350" s="860">
        <f>SUM(D348:D349)</f>
        <v>0</v>
      </c>
      <c r="E350" s="860">
        <f t="shared" ref="E350:F350" si="19">SUM(E348:E349)</f>
        <v>0</v>
      </c>
      <c r="F350" s="860">
        <f t="shared" si="19"/>
        <v>0</v>
      </c>
    </row>
    <row r="351" spans="1:6" ht="13.5" thickTop="1"/>
    <row r="352" spans="1:6">
      <c r="A352" s="454" t="s">
        <v>1513</v>
      </c>
      <c r="B352" s="454" t="s">
        <v>962</v>
      </c>
      <c r="F352" s="212">
        <v>3000000</v>
      </c>
    </row>
    <row r="353" spans="1:6">
      <c r="A353" s="454" t="s">
        <v>1489</v>
      </c>
      <c r="B353" s="454" t="s">
        <v>962</v>
      </c>
      <c r="C353" s="454" t="s">
        <v>23</v>
      </c>
      <c r="F353" s="212">
        <v>750000</v>
      </c>
    </row>
    <row r="354" spans="1:6" ht="13.5" thickBot="1">
      <c r="D354" s="860"/>
      <c r="E354" s="860"/>
      <c r="F354" s="860">
        <f>SUM(F352:F353)</f>
        <v>3750000</v>
      </c>
    </row>
    <row r="355" spans="1:6" ht="13.5" thickTop="1"/>
    <row r="358" spans="1:6">
      <c r="A358" s="454" t="s">
        <v>400</v>
      </c>
      <c r="B358" s="454" t="s">
        <v>1339</v>
      </c>
      <c r="C358" s="454" t="s">
        <v>1296</v>
      </c>
      <c r="D358" s="454">
        <v>885875</v>
      </c>
      <c r="E358" s="454">
        <v>885875</v>
      </c>
      <c r="F358" s="212">
        <v>885875</v>
      </c>
    </row>
    <row r="359" spans="1:6">
      <c r="A359" s="454" t="s">
        <v>752</v>
      </c>
      <c r="B359" s="454" t="s">
        <v>1339</v>
      </c>
      <c r="C359" s="454" t="s">
        <v>1296</v>
      </c>
      <c r="D359" s="454">
        <v>13171</v>
      </c>
      <c r="E359" s="454">
        <v>13171</v>
      </c>
      <c r="F359" s="212">
        <v>13171</v>
      </c>
    </row>
    <row r="360" spans="1:6">
      <c r="A360" s="454" t="s">
        <v>1429</v>
      </c>
      <c r="B360" s="454" t="s">
        <v>1339</v>
      </c>
      <c r="C360" s="454" t="s">
        <v>1296</v>
      </c>
      <c r="D360" s="454">
        <v>25007</v>
      </c>
      <c r="E360" s="454">
        <v>25007</v>
      </c>
      <c r="F360" s="212">
        <v>25007</v>
      </c>
    </row>
    <row r="361" spans="1:6">
      <c r="A361" s="454" t="s">
        <v>1174</v>
      </c>
      <c r="B361" s="454" t="s">
        <v>1339</v>
      </c>
      <c r="C361" s="454" t="s">
        <v>1296</v>
      </c>
      <c r="D361" s="454">
        <v>65514</v>
      </c>
      <c r="E361" s="454">
        <v>465514</v>
      </c>
      <c r="F361" s="212">
        <v>465514</v>
      </c>
    </row>
    <row r="362" spans="1:6">
      <c r="A362" s="454" t="s">
        <v>242</v>
      </c>
      <c r="B362" s="454" t="s">
        <v>1339</v>
      </c>
      <c r="C362" s="454" t="s">
        <v>1296</v>
      </c>
      <c r="D362" s="454">
        <v>124707</v>
      </c>
      <c r="E362" s="454">
        <v>124707</v>
      </c>
      <c r="F362" s="212">
        <v>124707</v>
      </c>
    </row>
    <row r="363" spans="1:6">
      <c r="A363" s="454" t="s">
        <v>945</v>
      </c>
      <c r="B363" s="454" t="s">
        <v>1339</v>
      </c>
      <c r="C363" s="454" t="s">
        <v>1296</v>
      </c>
      <c r="D363" s="454">
        <v>21389</v>
      </c>
      <c r="E363" s="454">
        <v>21389</v>
      </c>
      <c r="F363" s="212">
        <v>21389</v>
      </c>
    </row>
    <row r="364" spans="1:6" ht="13.5" thickBot="1">
      <c r="D364" s="860">
        <f>SUM(D358:D363)</f>
        <v>1135663</v>
      </c>
      <c r="E364" s="860">
        <f>SUM(E358:E363)</f>
        <v>1535663</v>
      </c>
      <c r="F364" s="860">
        <f>SUM(F358:F363)</f>
        <v>1535663</v>
      </c>
    </row>
    <row r="365" spans="1:6" ht="13.5" thickTop="1"/>
    <row r="366" spans="1:6">
      <c r="A366" s="454" t="s">
        <v>200</v>
      </c>
      <c r="B366" s="454" t="s">
        <v>962</v>
      </c>
      <c r="C366" s="454" t="s">
        <v>396</v>
      </c>
      <c r="D366" s="454">
        <v>0</v>
      </c>
      <c r="E366" s="454">
        <v>0</v>
      </c>
      <c r="F366" s="212">
        <v>736395</v>
      </c>
    </row>
    <row r="367" spans="1:6">
      <c r="A367" s="454" t="s">
        <v>201</v>
      </c>
      <c r="B367" s="454" t="s">
        <v>962</v>
      </c>
      <c r="C367" s="454" t="s">
        <v>396</v>
      </c>
      <c r="D367" s="454">
        <v>0</v>
      </c>
      <c r="E367" s="454">
        <v>0</v>
      </c>
      <c r="F367" s="212">
        <v>189171</v>
      </c>
    </row>
    <row r="368" spans="1:6">
      <c r="A368" s="454" t="s">
        <v>2361</v>
      </c>
      <c r="B368" s="454" t="s">
        <v>962</v>
      </c>
      <c r="D368" s="454">
        <v>4358362</v>
      </c>
      <c r="E368" s="454">
        <v>4358362</v>
      </c>
      <c r="F368" s="212">
        <v>1436686</v>
      </c>
    </row>
    <row r="369" spans="1:6" ht="13.5" thickBot="1">
      <c r="D369" s="860">
        <f>SUM(D366:D368)</f>
        <v>4358362</v>
      </c>
      <c r="E369" s="860">
        <f>SUM(E366:E368)</f>
        <v>4358362</v>
      </c>
      <c r="F369" s="860">
        <f>SUM(F366:F368)</f>
        <v>2362252</v>
      </c>
    </row>
    <row r="370" spans="1:6" ht="13.5" thickTop="1"/>
    <row r="371" spans="1:6">
      <c r="D371" s="457" t="s">
        <v>2337</v>
      </c>
      <c r="E371" s="457" t="s">
        <v>2338</v>
      </c>
      <c r="F371" s="457" t="s">
        <v>2339</v>
      </c>
    </row>
    <row r="372" spans="1:6">
      <c r="A372" s="454" t="s">
        <v>2381</v>
      </c>
      <c r="B372" s="454" t="s">
        <v>1827</v>
      </c>
      <c r="C372" s="454" t="s">
        <v>2383</v>
      </c>
      <c r="D372" s="454">
        <v>245071</v>
      </c>
      <c r="E372" s="454">
        <v>245071</v>
      </c>
      <c r="F372" s="454">
        <v>0</v>
      </c>
    </row>
    <row r="373" spans="1:6">
      <c r="A373" s="454" t="s">
        <v>2382</v>
      </c>
      <c r="B373" s="454" t="s">
        <v>1827</v>
      </c>
      <c r="C373" s="454" t="s">
        <v>711</v>
      </c>
      <c r="D373" s="454">
        <v>136668</v>
      </c>
      <c r="E373" s="454">
        <v>136668</v>
      </c>
      <c r="F373" s="454">
        <v>0</v>
      </c>
    </row>
    <row r="374" spans="1:6">
      <c r="A374" s="454" t="s">
        <v>404</v>
      </c>
      <c r="B374" s="454" t="s">
        <v>962</v>
      </c>
      <c r="C374" s="454" t="s">
        <v>405</v>
      </c>
      <c r="D374" s="454">
        <v>50000</v>
      </c>
      <c r="E374" s="454">
        <v>50000</v>
      </c>
      <c r="F374" s="212">
        <v>0</v>
      </c>
    </row>
    <row r="375" spans="1:6">
      <c r="A375" s="454" t="s">
        <v>406</v>
      </c>
      <c r="B375" s="454" t="s">
        <v>962</v>
      </c>
      <c r="C375" s="454" t="s">
        <v>407</v>
      </c>
      <c r="D375" s="454">
        <v>100000</v>
      </c>
      <c r="E375" s="454">
        <v>100000</v>
      </c>
      <c r="F375" s="212">
        <v>183944</v>
      </c>
    </row>
    <row r="376" spans="1:6">
      <c r="A376" s="454" t="s">
        <v>409</v>
      </c>
      <c r="B376" s="454" t="s">
        <v>962</v>
      </c>
      <c r="C376" s="454" t="s">
        <v>410</v>
      </c>
      <c r="D376" s="454">
        <v>24236</v>
      </c>
      <c r="E376" s="454">
        <v>24236</v>
      </c>
      <c r="F376" s="212">
        <v>15153</v>
      </c>
    </row>
    <row r="377" spans="1:6">
      <c r="A377" s="454" t="s">
        <v>411</v>
      </c>
      <c r="B377" s="454" t="s">
        <v>962</v>
      </c>
      <c r="C377" s="454" t="s">
        <v>412</v>
      </c>
      <c r="D377" s="454">
        <v>0</v>
      </c>
      <c r="E377" s="454">
        <v>0</v>
      </c>
      <c r="F377" s="212">
        <v>43153</v>
      </c>
    </row>
    <row r="378" spans="1:6">
      <c r="A378" s="454" t="s">
        <v>1473</v>
      </c>
      <c r="B378" s="454" t="s">
        <v>962</v>
      </c>
      <c r="C378" s="454" t="s">
        <v>1480</v>
      </c>
      <c r="D378" s="454">
        <v>372400</v>
      </c>
      <c r="E378" s="454">
        <v>372400</v>
      </c>
      <c r="F378" s="212">
        <v>209374</v>
      </c>
    </row>
    <row r="379" spans="1:6">
      <c r="A379" s="454" t="s">
        <v>413</v>
      </c>
      <c r="B379" s="454" t="s">
        <v>962</v>
      </c>
      <c r="C379" s="454" t="s">
        <v>414</v>
      </c>
      <c r="D379" s="454">
        <v>6080</v>
      </c>
      <c r="E379" s="454">
        <v>6080</v>
      </c>
      <c r="F379" s="212">
        <v>30179</v>
      </c>
    </row>
    <row r="380" spans="1:6">
      <c r="A380" s="454" t="s">
        <v>415</v>
      </c>
      <c r="B380" s="454" t="s">
        <v>962</v>
      </c>
      <c r="C380" s="454" t="s">
        <v>416</v>
      </c>
      <c r="D380" s="454">
        <v>0</v>
      </c>
      <c r="E380" s="454">
        <v>0</v>
      </c>
      <c r="F380" s="212">
        <v>1932</v>
      </c>
    </row>
    <row r="381" spans="1:6">
      <c r="A381" s="454" t="s">
        <v>2353</v>
      </c>
      <c r="B381" s="454" t="s">
        <v>962</v>
      </c>
      <c r="C381" s="454" t="s">
        <v>2354</v>
      </c>
      <c r="D381" s="454">
        <v>55100</v>
      </c>
      <c r="E381" s="454">
        <v>55100</v>
      </c>
      <c r="F381" s="212">
        <v>17491</v>
      </c>
    </row>
    <row r="382" spans="1:6">
      <c r="A382" s="454" t="s">
        <v>2384</v>
      </c>
      <c r="B382" s="454" t="s">
        <v>962</v>
      </c>
      <c r="C382" s="454" t="s">
        <v>846</v>
      </c>
      <c r="D382" s="454">
        <v>27550</v>
      </c>
      <c r="E382" s="454">
        <v>27550</v>
      </c>
      <c r="F382" s="212">
        <v>220</v>
      </c>
    </row>
    <row r="383" spans="1:6">
      <c r="A383" s="454" t="s">
        <v>417</v>
      </c>
      <c r="B383" s="454" t="s">
        <v>962</v>
      </c>
      <c r="C383" s="454" t="s">
        <v>418</v>
      </c>
      <c r="D383" s="454">
        <v>42750</v>
      </c>
      <c r="E383" s="454">
        <v>42750</v>
      </c>
      <c r="F383" s="212">
        <v>76990</v>
      </c>
    </row>
    <row r="384" spans="1:6">
      <c r="A384" s="454" t="s">
        <v>419</v>
      </c>
      <c r="B384" s="454" t="s">
        <v>962</v>
      </c>
      <c r="C384" s="454" t="s">
        <v>420</v>
      </c>
      <c r="D384" s="454">
        <v>42750</v>
      </c>
      <c r="E384" s="454">
        <v>42750</v>
      </c>
      <c r="F384" s="212">
        <v>145025</v>
      </c>
    </row>
    <row r="385" spans="1:6">
      <c r="A385" s="454" t="s">
        <v>421</v>
      </c>
      <c r="B385" s="454" t="s">
        <v>962</v>
      </c>
      <c r="C385" s="454" t="s">
        <v>422</v>
      </c>
      <c r="D385" s="454">
        <v>81094</v>
      </c>
      <c r="E385" s="454">
        <v>81094</v>
      </c>
      <c r="F385" s="212">
        <v>97079</v>
      </c>
    </row>
    <row r="386" spans="1:6">
      <c r="A386" s="454" t="s">
        <v>423</v>
      </c>
      <c r="B386" s="454" t="s">
        <v>962</v>
      </c>
      <c r="C386" s="454" t="s">
        <v>424</v>
      </c>
      <c r="D386" s="454">
        <v>1140</v>
      </c>
      <c r="E386" s="454">
        <v>1140</v>
      </c>
      <c r="F386" s="212">
        <v>2648</v>
      </c>
    </row>
    <row r="387" spans="1:6">
      <c r="A387" s="454" t="s">
        <v>2387</v>
      </c>
      <c r="C387" s="454" t="s">
        <v>2388</v>
      </c>
      <c r="F387" s="212">
        <v>310030</v>
      </c>
    </row>
    <row r="388" spans="1:6">
      <c r="A388" s="454" t="s">
        <v>425</v>
      </c>
      <c r="B388" s="454" t="s">
        <v>962</v>
      </c>
      <c r="C388" s="454" t="s">
        <v>426</v>
      </c>
      <c r="D388" s="454">
        <v>3800</v>
      </c>
      <c r="E388" s="454">
        <v>3800</v>
      </c>
      <c r="F388" s="212">
        <v>13588</v>
      </c>
    </row>
    <row r="389" spans="1:6">
      <c r="A389" s="454" t="s">
        <v>427</v>
      </c>
      <c r="B389" s="454" t="s">
        <v>962</v>
      </c>
      <c r="C389" s="454" t="s">
        <v>428</v>
      </c>
      <c r="D389" s="454">
        <v>85500</v>
      </c>
      <c r="E389" s="454">
        <v>85500</v>
      </c>
      <c r="F389" s="212">
        <v>434544</v>
      </c>
    </row>
    <row r="390" spans="1:6">
      <c r="A390" s="454" t="s">
        <v>429</v>
      </c>
      <c r="B390" s="454" t="s">
        <v>962</v>
      </c>
      <c r="C390" s="454" t="s">
        <v>430</v>
      </c>
      <c r="D390" s="454">
        <v>1235</v>
      </c>
      <c r="E390" s="454">
        <v>1235</v>
      </c>
      <c r="F390" s="212">
        <v>10360</v>
      </c>
    </row>
    <row r="391" spans="1:6">
      <c r="A391" s="454" t="s">
        <v>431</v>
      </c>
      <c r="B391" s="454" t="s">
        <v>962</v>
      </c>
      <c r="C391" s="454" t="s">
        <v>432</v>
      </c>
      <c r="D391" s="454">
        <v>57000</v>
      </c>
      <c r="E391" s="454">
        <v>57000</v>
      </c>
      <c r="F391" s="212">
        <v>52834</v>
      </c>
    </row>
    <row r="392" spans="1:6">
      <c r="A392" s="454" t="s">
        <v>1474</v>
      </c>
      <c r="B392" s="454" t="s">
        <v>962</v>
      </c>
      <c r="C392" s="454" t="s">
        <v>1911</v>
      </c>
      <c r="D392" s="454">
        <v>4100</v>
      </c>
      <c r="E392" s="454">
        <v>4100</v>
      </c>
      <c r="F392" s="212">
        <v>36060</v>
      </c>
    </row>
    <row r="393" spans="1:6">
      <c r="A393" s="454" t="s">
        <v>433</v>
      </c>
      <c r="B393" s="454" t="s">
        <v>962</v>
      </c>
      <c r="C393" s="454" t="s">
        <v>41</v>
      </c>
      <c r="D393" s="454">
        <v>332500</v>
      </c>
      <c r="E393" s="454">
        <v>332500</v>
      </c>
      <c r="F393" s="212">
        <v>913782</v>
      </c>
    </row>
    <row r="394" spans="1:6">
      <c r="A394" s="454" t="s">
        <v>42</v>
      </c>
      <c r="B394" s="454" t="s">
        <v>962</v>
      </c>
      <c r="C394" s="454" t="s">
        <v>43</v>
      </c>
      <c r="D394" s="454">
        <v>76000</v>
      </c>
      <c r="E394" s="454">
        <v>76000</v>
      </c>
      <c r="F394" s="212">
        <v>547641</v>
      </c>
    </row>
    <row r="395" spans="1:6">
      <c r="A395" s="454" t="s">
        <v>44</v>
      </c>
      <c r="B395" s="454" t="s">
        <v>962</v>
      </c>
      <c r="C395" s="454" t="s">
        <v>43</v>
      </c>
      <c r="D395" s="454">
        <v>76000</v>
      </c>
      <c r="E395" s="454">
        <v>76000</v>
      </c>
      <c r="F395" s="212">
        <v>1386343</v>
      </c>
    </row>
    <row r="396" spans="1:6">
      <c r="A396" s="454" t="s">
        <v>47</v>
      </c>
      <c r="B396" s="454" t="s">
        <v>962</v>
      </c>
      <c r="C396" s="454" t="s">
        <v>48</v>
      </c>
      <c r="D396" s="454">
        <v>70000</v>
      </c>
      <c r="E396" s="454">
        <v>70000</v>
      </c>
      <c r="F396" s="212">
        <v>0</v>
      </c>
    </row>
    <row r="397" spans="1:6">
      <c r="A397" s="855" t="s">
        <v>1883</v>
      </c>
      <c r="B397" s="454" t="s">
        <v>962</v>
      </c>
      <c r="C397" s="454" t="s">
        <v>2355</v>
      </c>
      <c r="D397" s="454">
        <v>164350</v>
      </c>
      <c r="E397" s="454">
        <v>164350</v>
      </c>
      <c r="F397" s="212">
        <v>0</v>
      </c>
    </row>
    <row r="398" spans="1:6">
      <c r="A398" s="454" t="s">
        <v>1475</v>
      </c>
      <c r="B398" s="454" t="s">
        <v>962</v>
      </c>
      <c r="C398" s="454" t="s">
        <v>1512</v>
      </c>
      <c r="D398" s="454">
        <v>0</v>
      </c>
      <c r="E398" s="454">
        <v>0</v>
      </c>
      <c r="F398" s="212">
        <v>13703</v>
      </c>
    </row>
    <row r="399" spans="1:6">
      <c r="A399" s="454" t="s">
        <v>53</v>
      </c>
      <c r="B399" s="454" t="s">
        <v>962</v>
      </c>
      <c r="C399" s="454" t="s">
        <v>1298</v>
      </c>
      <c r="D399" s="454">
        <v>0</v>
      </c>
      <c r="E399" s="454">
        <v>0</v>
      </c>
      <c r="F399" s="212">
        <v>338907</v>
      </c>
    </row>
    <row r="400" spans="1:6">
      <c r="A400" s="454" t="s">
        <v>54</v>
      </c>
      <c r="B400" s="454" t="s">
        <v>962</v>
      </c>
      <c r="C400" s="454" t="s">
        <v>386</v>
      </c>
      <c r="D400" s="454">
        <v>23750</v>
      </c>
      <c r="E400" s="454">
        <v>23750</v>
      </c>
      <c r="F400" s="212">
        <v>17081</v>
      </c>
    </row>
    <row r="401" spans="1:6">
      <c r="A401" s="454" t="s">
        <v>55</v>
      </c>
      <c r="B401" s="454" t="s">
        <v>962</v>
      </c>
      <c r="C401" s="454" t="s">
        <v>1299</v>
      </c>
      <c r="D401" s="454">
        <v>2500000</v>
      </c>
      <c r="E401" s="454">
        <v>2500000</v>
      </c>
      <c r="F401" s="212">
        <v>1871589</v>
      </c>
    </row>
    <row r="402" spans="1:6">
      <c r="A402" s="454" t="s">
        <v>1476</v>
      </c>
      <c r="B402" s="454" t="s">
        <v>962</v>
      </c>
      <c r="C402" s="454" t="s">
        <v>1478</v>
      </c>
      <c r="D402" s="454">
        <v>80000</v>
      </c>
      <c r="E402" s="454">
        <v>80000</v>
      </c>
      <c r="F402" s="212">
        <v>0</v>
      </c>
    </row>
    <row r="403" spans="1:6">
      <c r="A403" s="454" t="s">
        <v>1775</v>
      </c>
      <c r="B403" s="454" t="s">
        <v>962</v>
      </c>
      <c r="C403" s="454" t="s">
        <v>410</v>
      </c>
      <c r="D403" s="454">
        <v>3800</v>
      </c>
      <c r="E403" s="454">
        <v>3800</v>
      </c>
      <c r="F403" s="212">
        <v>0</v>
      </c>
    </row>
    <row r="404" spans="1:6">
      <c r="A404" s="454" t="s">
        <v>77</v>
      </c>
      <c r="B404" s="454" t="s">
        <v>962</v>
      </c>
      <c r="C404" s="454" t="s">
        <v>412</v>
      </c>
      <c r="D404" s="454">
        <v>0</v>
      </c>
      <c r="E404" s="454">
        <v>0</v>
      </c>
      <c r="F404" s="212">
        <v>1316</v>
      </c>
    </row>
    <row r="405" spans="1:6">
      <c r="A405" s="454" t="s">
        <v>78</v>
      </c>
      <c r="B405" s="454" t="s">
        <v>962</v>
      </c>
      <c r="C405" s="454" t="s">
        <v>79</v>
      </c>
      <c r="D405" s="454">
        <v>1220000</v>
      </c>
      <c r="E405" s="454">
        <v>1220000</v>
      </c>
      <c r="F405" s="212">
        <v>1515703</v>
      </c>
    </row>
    <row r="406" spans="1:6">
      <c r="A406" s="454" t="s">
        <v>80</v>
      </c>
      <c r="B406" s="454" t="s">
        <v>962</v>
      </c>
      <c r="C406" s="454" t="s">
        <v>416</v>
      </c>
      <c r="D406" s="454">
        <v>570</v>
      </c>
      <c r="E406" s="454">
        <v>570</v>
      </c>
      <c r="F406" s="212">
        <v>237</v>
      </c>
    </row>
    <row r="407" spans="1:6">
      <c r="A407" s="454" t="s">
        <v>82</v>
      </c>
      <c r="B407" s="454" t="s">
        <v>962</v>
      </c>
      <c r="C407" s="454" t="s">
        <v>1303</v>
      </c>
      <c r="D407" s="454">
        <v>20359</v>
      </c>
      <c r="E407" s="454">
        <v>20359</v>
      </c>
      <c r="F407" s="212">
        <v>13037</v>
      </c>
    </row>
    <row r="408" spans="1:6">
      <c r="A408" s="454" t="s">
        <v>83</v>
      </c>
      <c r="B408" s="454" t="s">
        <v>962</v>
      </c>
      <c r="C408" s="454" t="s">
        <v>430</v>
      </c>
      <c r="D408" s="454">
        <v>333</v>
      </c>
      <c r="E408" s="454">
        <v>333</v>
      </c>
      <c r="F408" s="212">
        <v>185</v>
      </c>
    </row>
    <row r="409" spans="1:6">
      <c r="A409" s="454" t="s">
        <v>84</v>
      </c>
      <c r="B409" s="454" t="s">
        <v>962</v>
      </c>
      <c r="C409" s="454" t="s">
        <v>432</v>
      </c>
      <c r="D409" s="454">
        <v>14250</v>
      </c>
      <c r="E409" s="454">
        <v>14250</v>
      </c>
      <c r="F409" s="212">
        <v>22133</v>
      </c>
    </row>
    <row r="410" spans="1:6">
      <c r="A410" s="454" t="s">
        <v>85</v>
      </c>
      <c r="B410" s="454" t="s">
        <v>962</v>
      </c>
      <c r="C410" s="454" t="s">
        <v>41</v>
      </c>
      <c r="D410" s="454">
        <v>237500</v>
      </c>
      <c r="E410" s="454">
        <v>237500</v>
      </c>
      <c r="F410" s="212">
        <v>866175</v>
      </c>
    </row>
    <row r="411" spans="1:6">
      <c r="A411" s="454" t="s">
        <v>86</v>
      </c>
      <c r="B411" s="454" t="s">
        <v>962</v>
      </c>
      <c r="C411" s="454" t="s">
        <v>43</v>
      </c>
      <c r="D411" s="454">
        <v>11400</v>
      </c>
      <c r="E411" s="454">
        <v>11400</v>
      </c>
      <c r="F411" s="212">
        <v>11070</v>
      </c>
    </row>
    <row r="412" spans="1:6">
      <c r="A412" s="454" t="s">
        <v>87</v>
      </c>
      <c r="B412" s="454" t="s">
        <v>962</v>
      </c>
      <c r="C412" s="454" t="s">
        <v>43</v>
      </c>
      <c r="D412" s="454">
        <v>11400</v>
      </c>
      <c r="E412" s="454">
        <v>11400</v>
      </c>
      <c r="F412" s="212">
        <v>28612</v>
      </c>
    </row>
    <row r="413" spans="1:6">
      <c r="A413" s="855" t="s">
        <v>1884</v>
      </c>
      <c r="B413" s="454" t="s">
        <v>962</v>
      </c>
      <c r="C413" s="454" t="s">
        <v>410</v>
      </c>
      <c r="D413" s="454">
        <v>760</v>
      </c>
      <c r="E413" s="454">
        <v>760</v>
      </c>
      <c r="F413" s="212">
        <v>0</v>
      </c>
    </row>
    <row r="414" spans="1:6">
      <c r="A414" s="454" t="s">
        <v>1053</v>
      </c>
      <c r="B414" s="454" t="s">
        <v>962</v>
      </c>
      <c r="C414" s="454" t="s">
        <v>79</v>
      </c>
      <c r="D414" s="454">
        <v>65922</v>
      </c>
      <c r="E414" s="454">
        <v>65922</v>
      </c>
      <c r="F414" s="212">
        <v>0</v>
      </c>
    </row>
    <row r="415" spans="1:6">
      <c r="A415" s="454" t="s">
        <v>1054</v>
      </c>
      <c r="B415" s="454" t="s">
        <v>962</v>
      </c>
      <c r="C415" s="454" t="s">
        <v>416</v>
      </c>
      <c r="D415" s="454">
        <v>950</v>
      </c>
      <c r="E415" s="454">
        <v>950</v>
      </c>
      <c r="F415" s="212">
        <v>0</v>
      </c>
    </row>
    <row r="416" spans="1:6">
      <c r="A416" s="454" t="s">
        <v>1055</v>
      </c>
      <c r="B416" s="454" t="s">
        <v>962</v>
      </c>
      <c r="C416" s="454" t="s">
        <v>430</v>
      </c>
      <c r="D416" s="454">
        <v>950</v>
      </c>
      <c r="E416" s="454">
        <v>950</v>
      </c>
      <c r="F416" s="212">
        <v>0</v>
      </c>
    </row>
    <row r="417" spans="1:6">
      <c r="A417" s="454" t="s">
        <v>1056</v>
      </c>
      <c r="B417" s="454" t="s">
        <v>962</v>
      </c>
      <c r="C417" s="454" t="s">
        <v>432</v>
      </c>
      <c r="D417" s="454">
        <v>4275</v>
      </c>
      <c r="E417" s="454">
        <v>4275</v>
      </c>
      <c r="F417" s="212">
        <v>0</v>
      </c>
    </row>
    <row r="418" spans="1:6">
      <c r="A418" s="454" t="s">
        <v>1057</v>
      </c>
      <c r="B418" s="454" t="s">
        <v>962</v>
      </c>
      <c r="C418" s="454" t="s">
        <v>41</v>
      </c>
      <c r="D418" s="454">
        <v>4275</v>
      </c>
      <c r="E418" s="454">
        <v>4275</v>
      </c>
      <c r="F418" s="212">
        <v>0</v>
      </c>
    </row>
    <row r="419" spans="1:6">
      <c r="A419" s="454" t="s">
        <v>1058</v>
      </c>
      <c r="B419" s="454" t="s">
        <v>962</v>
      </c>
      <c r="C419" s="454" t="s">
        <v>43</v>
      </c>
      <c r="D419" s="454">
        <v>760</v>
      </c>
      <c r="E419" s="454">
        <v>760</v>
      </c>
      <c r="F419" s="212">
        <v>0</v>
      </c>
    </row>
    <row r="420" spans="1:6">
      <c r="A420" s="454" t="s">
        <v>1059</v>
      </c>
      <c r="B420" s="454" t="s">
        <v>962</v>
      </c>
      <c r="C420" s="454" t="s">
        <v>43</v>
      </c>
      <c r="D420" s="454">
        <v>3040</v>
      </c>
      <c r="E420" s="454">
        <v>3040</v>
      </c>
      <c r="F420" s="212">
        <v>0</v>
      </c>
    </row>
    <row r="421" spans="1:6">
      <c r="A421" s="454" t="s">
        <v>2389</v>
      </c>
      <c r="C421" s="454" t="s">
        <v>1913</v>
      </c>
      <c r="F421" s="212">
        <v>11285679</v>
      </c>
    </row>
    <row r="422" spans="1:6">
      <c r="A422" s="454" t="s">
        <v>1062</v>
      </c>
      <c r="B422" s="454" t="s">
        <v>962</v>
      </c>
      <c r="C422" s="454" t="s">
        <v>410</v>
      </c>
      <c r="D422" s="454">
        <v>24320</v>
      </c>
      <c r="E422" s="454">
        <v>24320</v>
      </c>
      <c r="F422" s="212">
        <v>9170</v>
      </c>
    </row>
    <row r="423" spans="1:6">
      <c r="A423" s="454" t="s">
        <v>1063</v>
      </c>
      <c r="B423" s="454" t="s">
        <v>962</v>
      </c>
      <c r="C423" s="454" t="s">
        <v>412</v>
      </c>
      <c r="D423" s="454">
        <v>0</v>
      </c>
      <c r="E423" s="454">
        <v>0</v>
      </c>
      <c r="F423" s="212">
        <v>500</v>
      </c>
    </row>
    <row r="424" spans="1:6">
      <c r="A424" s="454" t="s">
        <v>1065</v>
      </c>
      <c r="B424" s="454" t="s">
        <v>962</v>
      </c>
      <c r="C424" s="454" t="s">
        <v>1060</v>
      </c>
      <c r="D424" s="454">
        <v>95000</v>
      </c>
      <c r="E424" s="454">
        <v>95000</v>
      </c>
      <c r="F424" s="212">
        <v>78262</v>
      </c>
    </row>
    <row r="425" spans="1:6">
      <c r="A425" s="454" t="s">
        <v>1067</v>
      </c>
      <c r="B425" s="454" t="s">
        <v>962</v>
      </c>
      <c r="C425" s="454" t="s">
        <v>430</v>
      </c>
      <c r="D425" s="454">
        <v>352</v>
      </c>
      <c r="E425" s="454">
        <v>352</v>
      </c>
      <c r="F425" s="212">
        <v>1095</v>
      </c>
    </row>
    <row r="426" spans="1:6">
      <c r="A426" s="454" t="s">
        <v>1068</v>
      </c>
      <c r="B426" s="454" t="s">
        <v>962</v>
      </c>
      <c r="C426" s="454" t="s">
        <v>432</v>
      </c>
      <c r="D426" s="454">
        <v>31600</v>
      </c>
      <c r="E426" s="454">
        <v>31600</v>
      </c>
      <c r="F426" s="212">
        <v>25931</v>
      </c>
    </row>
    <row r="427" spans="1:6">
      <c r="A427" s="454" t="s">
        <v>1069</v>
      </c>
      <c r="B427" s="454" t="s">
        <v>962</v>
      </c>
      <c r="C427" s="454" t="s">
        <v>41</v>
      </c>
      <c r="D427" s="454">
        <v>50000</v>
      </c>
      <c r="E427" s="454">
        <v>50000</v>
      </c>
      <c r="F427" s="212">
        <v>72252</v>
      </c>
    </row>
    <row r="428" spans="1:6">
      <c r="A428" s="454" t="s">
        <v>1070</v>
      </c>
      <c r="B428" s="454" t="s">
        <v>962</v>
      </c>
      <c r="C428" s="454" t="s">
        <v>43</v>
      </c>
      <c r="D428" s="454">
        <v>9576</v>
      </c>
      <c r="E428" s="454">
        <v>9576</v>
      </c>
      <c r="F428" s="212">
        <v>274</v>
      </c>
    </row>
    <row r="429" spans="1:6">
      <c r="A429" s="454" t="s">
        <v>1071</v>
      </c>
      <c r="B429" s="454" t="s">
        <v>962</v>
      </c>
      <c r="C429" s="454" t="s">
        <v>43</v>
      </c>
      <c r="D429" s="454">
        <v>6895</v>
      </c>
      <c r="E429" s="454">
        <v>6895</v>
      </c>
      <c r="F429" s="212">
        <v>0</v>
      </c>
    </row>
    <row r="430" spans="1:6">
      <c r="A430" s="454" t="s">
        <v>1885</v>
      </c>
      <c r="B430" s="454" t="s">
        <v>962</v>
      </c>
      <c r="C430" s="454" t="s">
        <v>1886</v>
      </c>
      <c r="D430" s="454">
        <v>2500000</v>
      </c>
      <c r="E430" s="454">
        <v>2500000</v>
      </c>
      <c r="F430" s="212">
        <v>52999</v>
      </c>
    </row>
    <row r="431" spans="1:6">
      <c r="A431" s="454" t="s">
        <v>104</v>
      </c>
      <c r="B431" s="454" t="s">
        <v>962</v>
      </c>
      <c r="C431" s="454" t="s">
        <v>410</v>
      </c>
      <c r="D431" s="454">
        <v>41566</v>
      </c>
      <c r="E431" s="454">
        <v>41566</v>
      </c>
      <c r="F431" s="212">
        <v>9083</v>
      </c>
    </row>
    <row r="432" spans="1:6">
      <c r="A432" s="454" t="s">
        <v>106</v>
      </c>
      <c r="B432" s="454" t="s">
        <v>962</v>
      </c>
      <c r="C432" s="454" t="s">
        <v>79</v>
      </c>
      <c r="D432" s="454">
        <v>3153</v>
      </c>
      <c r="E432" s="454">
        <v>3153</v>
      </c>
      <c r="F432" s="212">
        <v>0</v>
      </c>
    </row>
    <row r="433" spans="1:6">
      <c r="A433" s="454" t="s">
        <v>107</v>
      </c>
      <c r="B433" s="454" t="s">
        <v>962</v>
      </c>
      <c r="C433" s="454" t="s">
        <v>416</v>
      </c>
      <c r="D433" s="454">
        <v>44319</v>
      </c>
      <c r="E433" s="454">
        <v>44319</v>
      </c>
      <c r="F433" s="212">
        <v>3095</v>
      </c>
    </row>
    <row r="434" spans="1:6">
      <c r="A434" s="454" t="s">
        <v>108</v>
      </c>
      <c r="B434" s="454" t="s">
        <v>962</v>
      </c>
      <c r="C434" s="454" t="s">
        <v>1303</v>
      </c>
      <c r="D434" s="454">
        <v>0</v>
      </c>
      <c r="E434" s="454">
        <v>0</v>
      </c>
      <c r="F434" s="212">
        <v>6679</v>
      </c>
    </row>
    <row r="435" spans="1:6">
      <c r="A435" s="454" t="s">
        <v>109</v>
      </c>
      <c r="B435" s="454" t="s">
        <v>962</v>
      </c>
      <c r="C435" s="454" t="s">
        <v>430</v>
      </c>
      <c r="D435" s="454">
        <v>1729</v>
      </c>
      <c r="E435" s="454">
        <v>1729</v>
      </c>
      <c r="F435" s="212">
        <v>642</v>
      </c>
    </row>
    <row r="436" spans="1:6">
      <c r="A436" s="454" t="s">
        <v>110</v>
      </c>
      <c r="B436" s="454" t="s">
        <v>962</v>
      </c>
      <c r="C436" s="454" t="s">
        <v>432</v>
      </c>
      <c r="D436" s="454">
        <v>125845</v>
      </c>
      <c r="E436" s="454">
        <v>125845</v>
      </c>
      <c r="F436" s="212">
        <v>96530</v>
      </c>
    </row>
    <row r="437" spans="1:6">
      <c r="A437" s="454" t="s">
        <v>1776</v>
      </c>
      <c r="B437" s="454" t="s">
        <v>962</v>
      </c>
      <c r="C437" s="454" t="s">
        <v>1918</v>
      </c>
      <c r="D437" s="454">
        <v>12540</v>
      </c>
      <c r="E437" s="454">
        <v>12540</v>
      </c>
      <c r="F437" s="212">
        <v>0</v>
      </c>
    </row>
    <row r="438" spans="1:6">
      <c r="A438" s="454" t="s">
        <v>111</v>
      </c>
      <c r="B438" s="454" t="s">
        <v>962</v>
      </c>
      <c r="C438" s="454" t="s">
        <v>41</v>
      </c>
      <c r="D438" s="454">
        <v>50000</v>
      </c>
      <c r="E438" s="454">
        <v>50000</v>
      </c>
      <c r="F438" s="212">
        <v>52510</v>
      </c>
    </row>
    <row r="439" spans="1:6">
      <c r="A439" s="454" t="s">
        <v>112</v>
      </c>
      <c r="B439" s="454" t="s">
        <v>962</v>
      </c>
      <c r="C439" s="454" t="s">
        <v>43</v>
      </c>
      <c r="D439" s="454">
        <v>8662</v>
      </c>
      <c r="E439" s="454">
        <v>8662</v>
      </c>
      <c r="F439" s="212">
        <v>8655</v>
      </c>
    </row>
    <row r="440" spans="1:6">
      <c r="A440" s="454" t="s">
        <v>113</v>
      </c>
      <c r="B440" s="454" t="s">
        <v>962</v>
      </c>
      <c r="C440" s="454" t="s">
        <v>43</v>
      </c>
      <c r="D440" s="454">
        <v>1814</v>
      </c>
      <c r="E440" s="454">
        <v>1814</v>
      </c>
      <c r="F440" s="212">
        <v>6053</v>
      </c>
    </row>
    <row r="441" spans="1:6">
      <c r="A441" s="454" t="s">
        <v>1777</v>
      </c>
      <c r="B441" s="454" t="s">
        <v>962</v>
      </c>
      <c r="C441" s="454" t="s">
        <v>410</v>
      </c>
      <c r="D441" s="454">
        <v>48640</v>
      </c>
      <c r="E441" s="454">
        <v>48640</v>
      </c>
      <c r="F441" s="212">
        <v>5385</v>
      </c>
    </row>
    <row r="442" spans="1:6">
      <c r="A442" s="454" t="s">
        <v>115</v>
      </c>
      <c r="B442" s="454" t="s">
        <v>962</v>
      </c>
      <c r="C442" s="454" t="s">
        <v>412</v>
      </c>
      <c r="D442" s="454">
        <v>0</v>
      </c>
      <c r="E442" s="454">
        <v>0</v>
      </c>
      <c r="F442" s="212">
        <v>4616</v>
      </c>
    </row>
    <row r="443" spans="1:6">
      <c r="A443" s="454" t="s">
        <v>116</v>
      </c>
      <c r="B443" s="454" t="s">
        <v>962</v>
      </c>
      <c r="C443" s="454" t="s">
        <v>79</v>
      </c>
      <c r="D443" s="454">
        <v>15200</v>
      </c>
      <c r="E443" s="454">
        <v>15200</v>
      </c>
      <c r="F443" s="212">
        <v>0</v>
      </c>
    </row>
    <row r="444" spans="1:6">
      <c r="A444" s="454" t="s">
        <v>117</v>
      </c>
      <c r="B444" s="454" t="s">
        <v>962</v>
      </c>
      <c r="C444" s="454" t="s">
        <v>430</v>
      </c>
      <c r="D444" s="454">
        <v>657</v>
      </c>
      <c r="E444" s="454">
        <v>657</v>
      </c>
      <c r="F444" s="212">
        <v>167</v>
      </c>
    </row>
    <row r="445" spans="1:6">
      <c r="A445" s="454" t="s">
        <v>118</v>
      </c>
      <c r="B445" s="454" t="s">
        <v>962</v>
      </c>
      <c r="C445" s="454" t="s">
        <v>432</v>
      </c>
      <c r="D445" s="454">
        <v>42750</v>
      </c>
      <c r="E445" s="454">
        <v>42750</v>
      </c>
      <c r="F445" s="212">
        <v>4709</v>
      </c>
    </row>
    <row r="446" spans="1:6">
      <c r="A446" s="454" t="s">
        <v>119</v>
      </c>
      <c r="B446" s="454" t="s">
        <v>962</v>
      </c>
      <c r="C446" s="454" t="s">
        <v>41</v>
      </c>
      <c r="D446" s="454">
        <v>62736</v>
      </c>
      <c r="E446" s="454">
        <v>62736</v>
      </c>
      <c r="F446" s="212">
        <v>104354</v>
      </c>
    </row>
    <row r="447" spans="1:6">
      <c r="A447" s="454" t="s">
        <v>120</v>
      </c>
      <c r="B447" s="454" t="s">
        <v>962</v>
      </c>
      <c r="C447" s="454" t="s">
        <v>43</v>
      </c>
      <c r="D447" s="454">
        <v>9500</v>
      </c>
      <c r="E447" s="454">
        <v>9500</v>
      </c>
      <c r="F447" s="212">
        <v>375</v>
      </c>
    </row>
    <row r="448" spans="1:6">
      <c r="A448" s="454" t="s">
        <v>1481</v>
      </c>
      <c r="B448" s="454" t="s">
        <v>962</v>
      </c>
      <c r="C448" s="454" t="s">
        <v>43</v>
      </c>
      <c r="D448" s="454">
        <v>2432</v>
      </c>
      <c r="E448" s="454">
        <v>2432</v>
      </c>
      <c r="F448" s="212">
        <v>0</v>
      </c>
    </row>
    <row r="449" spans="1:6">
      <c r="A449" s="454" t="s">
        <v>121</v>
      </c>
      <c r="B449" s="454" t="s">
        <v>962</v>
      </c>
      <c r="C449" s="454" t="s">
        <v>114</v>
      </c>
      <c r="D449" s="454">
        <v>237500</v>
      </c>
      <c r="E449" s="454">
        <v>237500</v>
      </c>
      <c r="F449" s="212">
        <v>477087</v>
      </c>
    </row>
    <row r="450" spans="1:6">
      <c r="A450" s="454" t="s">
        <v>122</v>
      </c>
      <c r="B450" s="454" t="s">
        <v>962</v>
      </c>
      <c r="C450" s="454" t="s">
        <v>123</v>
      </c>
      <c r="D450" s="454">
        <v>76000</v>
      </c>
      <c r="E450" s="454">
        <v>76000</v>
      </c>
      <c r="F450" s="212">
        <v>0</v>
      </c>
    </row>
    <row r="451" spans="1:6">
      <c r="A451" s="454" t="s">
        <v>134</v>
      </c>
      <c r="B451" s="454" t="s">
        <v>962</v>
      </c>
      <c r="C451" s="454" t="s">
        <v>416</v>
      </c>
      <c r="D451" s="454">
        <v>4750</v>
      </c>
      <c r="E451" s="454">
        <v>4750</v>
      </c>
      <c r="F451" s="212">
        <v>0</v>
      </c>
    </row>
    <row r="452" spans="1:6">
      <c r="A452" s="454" t="s">
        <v>135</v>
      </c>
      <c r="B452" s="454" t="s">
        <v>962</v>
      </c>
      <c r="C452" s="454" t="s">
        <v>1303</v>
      </c>
      <c r="D452" s="454">
        <v>6969</v>
      </c>
      <c r="E452" s="454">
        <v>6969</v>
      </c>
      <c r="F452" s="212">
        <v>6969</v>
      </c>
    </row>
    <row r="453" spans="1:6">
      <c r="A453" s="454" t="s">
        <v>137</v>
      </c>
      <c r="B453" s="454" t="s">
        <v>962</v>
      </c>
      <c r="C453" s="454" t="s">
        <v>138</v>
      </c>
      <c r="D453" s="454">
        <v>2375</v>
      </c>
      <c r="E453" s="454">
        <v>2375</v>
      </c>
      <c r="F453" s="212">
        <v>0</v>
      </c>
    </row>
    <row r="454" spans="1:6">
      <c r="A454" s="454" t="s">
        <v>1780</v>
      </c>
      <c r="B454" s="454" t="s">
        <v>962</v>
      </c>
      <c r="C454" s="454" t="s">
        <v>1781</v>
      </c>
      <c r="D454" s="454">
        <v>10000</v>
      </c>
      <c r="E454" s="454">
        <v>10000</v>
      </c>
      <c r="F454" s="212">
        <v>0</v>
      </c>
    </row>
    <row r="455" spans="1:6">
      <c r="A455" s="454" t="s">
        <v>140</v>
      </c>
      <c r="B455" s="454" t="s">
        <v>962</v>
      </c>
      <c r="C455" s="454" t="s">
        <v>430</v>
      </c>
      <c r="D455" s="454">
        <v>1900</v>
      </c>
      <c r="E455" s="454">
        <v>1900</v>
      </c>
      <c r="F455" s="212">
        <v>0</v>
      </c>
    </row>
    <row r="456" spans="1:6">
      <c r="A456" s="454" t="s">
        <v>141</v>
      </c>
      <c r="B456" s="454" t="s">
        <v>962</v>
      </c>
      <c r="C456" s="454" t="s">
        <v>432</v>
      </c>
      <c r="D456" s="454">
        <v>40000</v>
      </c>
      <c r="E456" s="454">
        <v>40000</v>
      </c>
      <c r="F456" s="212">
        <v>25757</v>
      </c>
    </row>
    <row r="457" spans="1:6">
      <c r="A457" s="454" t="s">
        <v>142</v>
      </c>
      <c r="B457" s="454" t="s">
        <v>962</v>
      </c>
      <c r="C457" s="454" t="s">
        <v>41</v>
      </c>
      <c r="D457" s="454">
        <v>19000</v>
      </c>
      <c r="E457" s="454">
        <v>19000</v>
      </c>
      <c r="F457" s="212">
        <v>140</v>
      </c>
    </row>
    <row r="458" spans="1:6">
      <c r="A458" s="454" t="s">
        <v>143</v>
      </c>
      <c r="B458" s="454" t="s">
        <v>962</v>
      </c>
      <c r="C458" s="454" t="s">
        <v>43</v>
      </c>
      <c r="D458" s="454">
        <v>3800</v>
      </c>
      <c r="E458" s="454">
        <v>3800</v>
      </c>
      <c r="F458" s="212">
        <v>0</v>
      </c>
    </row>
    <row r="459" spans="1:6">
      <c r="A459" s="454" t="s">
        <v>144</v>
      </c>
      <c r="B459" s="454" t="s">
        <v>962</v>
      </c>
      <c r="C459" s="454" t="s">
        <v>43</v>
      </c>
      <c r="D459" s="454">
        <v>3800</v>
      </c>
      <c r="E459" s="454">
        <v>3800</v>
      </c>
      <c r="F459" s="212">
        <v>0</v>
      </c>
    </row>
    <row r="460" spans="1:6">
      <c r="A460" s="454" t="s">
        <v>155</v>
      </c>
      <c r="B460" s="454" t="s">
        <v>962</v>
      </c>
      <c r="C460" s="454" t="s">
        <v>416</v>
      </c>
      <c r="D460" s="454">
        <v>4750</v>
      </c>
      <c r="E460" s="454">
        <v>4750</v>
      </c>
      <c r="F460" s="212">
        <v>0</v>
      </c>
    </row>
    <row r="461" spans="1:6">
      <c r="A461" s="454" t="s">
        <v>156</v>
      </c>
      <c r="B461" s="454" t="s">
        <v>962</v>
      </c>
      <c r="C461" s="454" t="s">
        <v>430</v>
      </c>
      <c r="D461" s="454">
        <v>9500</v>
      </c>
      <c r="E461" s="454">
        <v>9500</v>
      </c>
      <c r="F461" s="212">
        <v>0</v>
      </c>
    </row>
    <row r="462" spans="1:6">
      <c r="A462" s="454" t="s">
        <v>157</v>
      </c>
      <c r="B462" s="454" t="s">
        <v>962</v>
      </c>
      <c r="C462" s="454" t="s">
        <v>432</v>
      </c>
      <c r="D462" s="454">
        <v>20000</v>
      </c>
      <c r="E462" s="454">
        <v>0</v>
      </c>
      <c r="F462" s="212">
        <v>0</v>
      </c>
    </row>
    <row r="463" spans="1:6">
      <c r="A463" s="454" t="s">
        <v>158</v>
      </c>
      <c r="B463" s="454" t="s">
        <v>962</v>
      </c>
      <c r="C463" s="454" t="s">
        <v>57</v>
      </c>
      <c r="D463" s="454">
        <v>50000</v>
      </c>
      <c r="E463" s="454">
        <v>50000</v>
      </c>
      <c r="F463" s="212">
        <v>0</v>
      </c>
    </row>
    <row r="464" spans="1:6">
      <c r="A464" s="454" t="s">
        <v>159</v>
      </c>
      <c r="B464" s="454" t="s">
        <v>962</v>
      </c>
      <c r="C464" s="454" t="s">
        <v>41</v>
      </c>
      <c r="D464" s="454">
        <v>20000</v>
      </c>
      <c r="E464" s="454">
        <v>20000</v>
      </c>
      <c r="F464" s="212">
        <v>1300</v>
      </c>
    </row>
    <row r="465" spans="1:6">
      <c r="A465" s="454" t="s">
        <v>160</v>
      </c>
      <c r="B465" s="454" t="s">
        <v>962</v>
      </c>
      <c r="C465" s="454" t="s">
        <v>43</v>
      </c>
      <c r="D465" s="454">
        <v>11400</v>
      </c>
      <c r="E465" s="454">
        <v>11400</v>
      </c>
      <c r="F465" s="212">
        <v>12956</v>
      </c>
    </row>
    <row r="466" spans="1:6">
      <c r="A466" s="454" t="s">
        <v>161</v>
      </c>
      <c r="B466" s="454" t="s">
        <v>962</v>
      </c>
      <c r="C466" s="454" t="s">
        <v>43</v>
      </c>
      <c r="D466" s="454">
        <v>3800</v>
      </c>
      <c r="E466" s="454">
        <v>3800</v>
      </c>
      <c r="F466" s="212">
        <v>0</v>
      </c>
    </row>
    <row r="467" spans="1:6">
      <c r="A467" s="454" t="s">
        <v>1887</v>
      </c>
      <c r="B467" s="454" t="s">
        <v>962</v>
      </c>
      <c r="C467" s="454" t="s">
        <v>1888</v>
      </c>
      <c r="D467" s="454">
        <v>760</v>
      </c>
      <c r="E467" s="454">
        <v>760</v>
      </c>
      <c r="F467" s="212">
        <v>0</v>
      </c>
    </row>
    <row r="468" spans="1:6">
      <c r="A468" s="454" t="s">
        <v>180</v>
      </c>
      <c r="B468" s="454" t="s">
        <v>962</v>
      </c>
      <c r="C468" s="454" t="s">
        <v>181</v>
      </c>
      <c r="D468" s="454">
        <v>950000</v>
      </c>
      <c r="E468" s="454">
        <v>950000</v>
      </c>
      <c r="F468" s="212">
        <v>394149</v>
      </c>
    </row>
    <row r="469" spans="1:6">
      <c r="A469" s="454" t="s">
        <v>182</v>
      </c>
      <c r="B469" s="454" t="s">
        <v>962</v>
      </c>
      <c r="C469" s="454" t="s">
        <v>401</v>
      </c>
      <c r="D469" s="454">
        <v>1140000</v>
      </c>
      <c r="E469" s="454">
        <v>1140000</v>
      </c>
      <c r="F469" s="212">
        <v>1515954</v>
      </c>
    </row>
    <row r="470" spans="1:6">
      <c r="A470" s="454" t="s">
        <v>183</v>
      </c>
      <c r="B470" s="454" t="s">
        <v>962</v>
      </c>
      <c r="C470" s="454" t="s">
        <v>1323</v>
      </c>
      <c r="D470" s="454">
        <v>237500</v>
      </c>
      <c r="E470" s="454">
        <v>237500</v>
      </c>
      <c r="F470" s="212">
        <v>226464</v>
      </c>
    </row>
    <row r="471" spans="1:6">
      <c r="A471" s="454" t="s">
        <v>185</v>
      </c>
      <c r="B471" s="454" t="s">
        <v>962</v>
      </c>
      <c r="C471" s="454" t="s">
        <v>79</v>
      </c>
      <c r="D471" s="454">
        <v>142120</v>
      </c>
      <c r="E471" s="454">
        <v>142120</v>
      </c>
      <c r="F471" s="212">
        <v>277787</v>
      </c>
    </row>
    <row r="472" spans="1:6">
      <c r="A472" s="454" t="s">
        <v>186</v>
      </c>
      <c r="B472" s="454" t="s">
        <v>962</v>
      </c>
      <c r="C472" s="454" t="s">
        <v>1303</v>
      </c>
      <c r="D472" s="454">
        <v>438319</v>
      </c>
      <c r="E472" s="454">
        <v>438319</v>
      </c>
      <c r="F472" s="212">
        <v>161016</v>
      </c>
    </row>
    <row r="473" spans="1:6">
      <c r="A473" s="454" t="s">
        <v>188</v>
      </c>
      <c r="B473" s="454" t="s">
        <v>962</v>
      </c>
      <c r="C473" s="454" t="s">
        <v>430</v>
      </c>
      <c r="D473" s="454">
        <v>85500</v>
      </c>
      <c r="E473" s="454">
        <v>85500</v>
      </c>
      <c r="F473" s="212">
        <v>141517</v>
      </c>
    </row>
    <row r="474" spans="1:6">
      <c r="A474" s="454" t="s">
        <v>189</v>
      </c>
      <c r="B474" s="454" t="s">
        <v>962</v>
      </c>
      <c r="C474" s="454" t="s">
        <v>432</v>
      </c>
      <c r="D474" s="454">
        <v>142500</v>
      </c>
      <c r="E474" s="454">
        <v>142500</v>
      </c>
      <c r="F474" s="212">
        <v>169133</v>
      </c>
    </row>
    <row r="475" spans="1:6">
      <c r="A475" s="454" t="s">
        <v>190</v>
      </c>
      <c r="B475" s="454" t="s">
        <v>962</v>
      </c>
      <c r="C475" s="454" t="s">
        <v>191</v>
      </c>
      <c r="D475" s="454">
        <v>2375</v>
      </c>
      <c r="E475" s="454">
        <v>2375</v>
      </c>
      <c r="F475" s="212">
        <v>4289</v>
      </c>
    </row>
    <row r="476" spans="1:6">
      <c r="A476" s="454" t="s">
        <v>194</v>
      </c>
      <c r="B476" s="454" t="s">
        <v>962</v>
      </c>
      <c r="C476" s="454" t="s">
        <v>1304</v>
      </c>
      <c r="D476" s="454">
        <v>45900</v>
      </c>
      <c r="E476" s="454">
        <v>45900</v>
      </c>
      <c r="F476" s="212">
        <v>0</v>
      </c>
    </row>
    <row r="477" spans="1:6">
      <c r="A477" s="454" t="s">
        <v>195</v>
      </c>
      <c r="B477" s="454" t="s">
        <v>962</v>
      </c>
      <c r="C477" s="454" t="s">
        <v>41</v>
      </c>
      <c r="D477" s="454">
        <v>95000</v>
      </c>
      <c r="E477" s="454">
        <v>95000</v>
      </c>
      <c r="F477" s="212">
        <v>283775</v>
      </c>
    </row>
    <row r="478" spans="1:6">
      <c r="A478" s="454" t="s">
        <v>196</v>
      </c>
      <c r="B478" s="454" t="s">
        <v>962</v>
      </c>
      <c r="C478" s="454" t="s">
        <v>43</v>
      </c>
      <c r="D478" s="454">
        <v>11400</v>
      </c>
      <c r="E478" s="454">
        <v>11400</v>
      </c>
      <c r="F478" s="212">
        <v>1997</v>
      </c>
    </row>
    <row r="479" spans="1:6">
      <c r="A479" s="454" t="s">
        <v>197</v>
      </c>
      <c r="B479" s="454" t="s">
        <v>962</v>
      </c>
      <c r="C479" s="454" t="s">
        <v>43</v>
      </c>
      <c r="D479" s="454">
        <v>12008</v>
      </c>
      <c r="E479" s="454">
        <v>12008</v>
      </c>
      <c r="F479" s="212">
        <v>37980</v>
      </c>
    </row>
    <row r="480" spans="1:6">
      <c r="A480" s="454" t="s">
        <v>198</v>
      </c>
      <c r="B480" s="454" t="s">
        <v>962</v>
      </c>
      <c r="C480" s="454" t="s">
        <v>199</v>
      </c>
      <c r="D480" s="454">
        <v>31312</v>
      </c>
      <c r="E480" s="454">
        <v>31312</v>
      </c>
      <c r="F480" s="212">
        <v>4764</v>
      </c>
    </row>
    <row r="481" spans="1:6">
      <c r="A481" s="454" t="s">
        <v>1484</v>
      </c>
      <c r="B481" s="454" t="s">
        <v>962</v>
      </c>
      <c r="C481" s="454" t="s">
        <v>199</v>
      </c>
      <c r="D481" s="454">
        <v>1900000</v>
      </c>
      <c r="E481" s="454">
        <v>1900000</v>
      </c>
      <c r="F481" s="212">
        <v>1698695</v>
      </c>
    </row>
    <row r="482" spans="1:6">
      <c r="A482" s="454" t="s">
        <v>1485</v>
      </c>
      <c r="B482" s="454" t="s">
        <v>962</v>
      </c>
      <c r="C482" s="454" t="s">
        <v>199</v>
      </c>
      <c r="D482" s="454">
        <v>475000</v>
      </c>
      <c r="E482" s="454">
        <v>475000</v>
      </c>
      <c r="F482" s="212">
        <v>136172</v>
      </c>
    </row>
    <row r="483" spans="1:6">
      <c r="A483" s="454" t="s">
        <v>2359</v>
      </c>
      <c r="B483" s="454" t="s">
        <v>962</v>
      </c>
      <c r="C483" s="454" t="s">
        <v>2360</v>
      </c>
      <c r="D483" s="454">
        <v>2500000</v>
      </c>
      <c r="E483" s="454">
        <v>2500000</v>
      </c>
      <c r="F483" s="212">
        <v>0</v>
      </c>
    </row>
    <row r="484" spans="1:6">
      <c r="A484" s="454" t="s">
        <v>209</v>
      </c>
      <c r="B484" s="454" t="s">
        <v>962</v>
      </c>
      <c r="C484" s="454" t="s">
        <v>1303</v>
      </c>
      <c r="D484" s="454">
        <v>2842</v>
      </c>
      <c r="E484" s="454">
        <v>2842</v>
      </c>
      <c r="F484" s="212">
        <v>2493</v>
      </c>
    </row>
    <row r="485" spans="1:6">
      <c r="A485" s="454" t="s">
        <v>2394</v>
      </c>
      <c r="B485" s="454" t="s">
        <v>962</v>
      </c>
      <c r="F485" s="212">
        <v>260</v>
      </c>
    </row>
    <row r="486" spans="1:6">
      <c r="A486" s="454" t="s">
        <v>1890</v>
      </c>
      <c r="B486" s="454" t="s">
        <v>962</v>
      </c>
      <c r="C486" s="454" t="s">
        <v>410</v>
      </c>
      <c r="D486" s="454">
        <v>5867</v>
      </c>
      <c r="E486" s="454">
        <v>5867</v>
      </c>
      <c r="F486" s="212">
        <v>0</v>
      </c>
    </row>
    <row r="487" spans="1:6">
      <c r="A487" s="454" t="s">
        <v>739</v>
      </c>
      <c r="B487" s="454" t="s">
        <v>962</v>
      </c>
      <c r="C487" s="454" t="s">
        <v>79</v>
      </c>
      <c r="D487" s="454">
        <v>348012</v>
      </c>
      <c r="E487" s="454">
        <v>348012</v>
      </c>
      <c r="F487" s="212">
        <v>402440</v>
      </c>
    </row>
    <row r="488" spans="1:6">
      <c r="A488" s="454" t="s">
        <v>740</v>
      </c>
      <c r="B488" s="454" t="s">
        <v>962</v>
      </c>
      <c r="C488" s="454" t="s">
        <v>138</v>
      </c>
      <c r="D488" s="454">
        <v>164443</v>
      </c>
      <c r="E488" s="454">
        <v>164443</v>
      </c>
      <c r="F488" s="212">
        <v>267990</v>
      </c>
    </row>
    <row r="489" spans="1:6">
      <c r="A489" s="454" t="s">
        <v>741</v>
      </c>
      <c r="B489" s="454" t="s">
        <v>962</v>
      </c>
      <c r="C489" s="454" t="s">
        <v>742</v>
      </c>
      <c r="D489" s="454">
        <v>23019</v>
      </c>
      <c r="E489" s="454">
        <v>23019</v>
      </c>
      <c r="F489" s="212">
        <v>870638</v>
      </c>
    </row>
    <row r="490" spans="1:6">
      <c r="A490" s="454" t="s">
        <v>743</v>
      </c>
      <c r="B490" s="454" t="s">
        <v>962</v>
      </c>
      <c r="C490" s="454" t="s">
        <v>744</v>
      </c>
      <c r="D490" s="454">
        <v>1369786</v>
      </c>
      <c r="E490" s="454">
        <v>1369786</v>
      </c>
      <c r="F490" s="212">
        <v>1369786</v>
      </c>
    </row>
    <row r="491" spans="1:6">
      <c r="A491" s="454" t="s">
        <v>745</v>
      </c>
      <c r="B491" s="454" t="s">
        <v>962</v>
      </c>
      <c r="C491" s="454" t="s">
        <v>41</v>
      </c>
      <c r="D491" s="454">
        <v>20558</v>
      </c>
      <c r="E491" s="454">
        <v>20558</v>
      </c>
      <c r="F491" s="212">
        <v>11875</v>
      </c>
    </row>
    <row r="492" spans="1:6">
      <c r="A492" s="454" t="s">
        <v>746</v>
      </c>
      <c r="B492" s="454" t="s">
        <v>962</v>
      </c>
      <c r="C492" s="454" t="s">
        <v>43</v>
      </c>
      <c r="D492" s="454">
        <v>1520</v>
      </c>
      <c r="E492" s="454">
        <v>1520</v>
      </c>
      <c r="F492" s="212">
        <v>0</v>
      </c>
    </row>
    <row r="493" spans="1:6">
      <c r="A493" s="454" t="s">
        <v>1891</v>
      </c>
      <c r="B493" s="454" t="s">
        <v>962</v>
      </c>
      <c r="C493" s="454" t="s">
        <v>43</v>
      </c>
      <c r="D493" s="454">
        <v>1520</v>
      </c>
      <c r="E493" s="454">
        <v>1520</v>
      </c>
      <c r="F493" s="212">
        <v>1216</v>
      </c>
    </row>
    <row r="494" spans="1:6">
      <c r="A494" s="454" t="s">
        <v>867</v>
      </c>
      <c r="B494" s="454" t="s">
        <v>962</v>
      </c>
      <c r="C494" s="454" t="s">
        <v>416</v>
      </c>
      <c r="D494" s="454">
        <v>7161</v>
      </c>
      <c r="E494" s="454">
        <v>7161</v>
      </c>
      <c r="F494" s="212">
        <v>1632</v>
      </c>
    </row>
    <row r="495" spans="1:6">
      <c r="A495" s="454" t="s">
        <v>868</v>
      </c>
      <c r="B495" s="454" t="s">
        <v>962</v>
      </c>
      <c r="C495" s="454" t="s">
        <v>422</v>
      </c>
      <c r="D495" s="454">
        <v>14487</v>
      </c>
      <c r="E495" s="454">
        <v>14487</v>
      </c>
      <c r="F495" s="212">
        <v>491</v>
      </c>
    </row>
    <row r="496" spans="1:6">
      <c r="A496" s="454" t="s">
        <v>869</v>
      </c>
      <c r="B496" s="454" t="s">
        <v>962</v>
      </c>
      <c r="C496" s="454" t="s">
        <v>1303</v>
      </c>
      <c r="D496" s="454">
        <v>22008</v>
      </c>
      <c r="E496" s="454">
        <v>22008</v>
      </c>
      <c r="F496" s="212">
        <v>19305</v>
      </c>
    </row>
    <row r="497" spans="1:6">
      <c r="A497" s="454" t="s">
        <v>870</v>
      </c>
      <c r="B497" s="454" t="s">
        <v>962</v>
      </c>
      <c r="C497" s="454" t="s">
        <v>191</v>
      </c>
      <c r="D497" s="454">
        <v>11687</v>
      </c>
      <c r="E497" s="454">
        <v>11687</v>
      </c>
      <c r="F497" s="212">
        <v>394</v>
      </c>
    </row>
    <row r="498" spans="1:6">
      <c r="A498" s="454" t="s">
        <v>871</v>
      </c>
      <c r="B498" s="454" t="s">
        <v>962</v>
      </c>
      <c r="C498" s="454" t="s">
        <v>41</v>
      </c>
      <c r="D498" s="454">
        <v>4513</v>
      </c>
      <c r="E498" s="454">
        <v>4513</v>
      </c>
      <c r="F498" s="212">
        <v>0</v>
      </c>
    </row>
    <row r="499" spans="1:6">
      <c r="A499" s="454" t="s">
        <v>883</v>
      </c>
      <c r="B499" s="454" t="s">
        <v>962</v>
      </c>
      <c r="C499" s="454" t="s">
        <v>416</v>
      </c>
      <c r="D499" s="454">
        <v>4940</v>
      </c>
      <c r="E499" s="454">
        <v>4940</v>
      </c>
      <c r="F499" s="212">
        <v>1286</v>
      </c>
    </row>
    <row r="500" spans="1:6">
      <c r="A500" s="454" t="s">
        <v>884</v>
      </c>
      <c r="B500" s="454" t="s">
        <v>962</v>
      </c>
      <c r="C500" s="454" t="s">
        <v>1303</v>
      </c>
      <c r="D500" s="454">
        <v>4410</v>
      </c>
      <c r="E500" s="454">
        <v>4410</v>
      </c>
      <c r="F500" s="212">
        <v>4410</v>
      </c>
    </row>
    <row r="501" spans="1:6">
      <c r="A501" s="454" t="s">
        <v>885</v>
      </c>
      <c r="B501" s="454" t="s">
        <v>962</v>
      </c>
      <c r="C501" s="454" t="s">
        <v>191</v>
      </c>
      <c r="D501" s="454">
        <v>1531</v>
      </c>
      <c r="E501" s="454">
        <v>1531</v>
      </c>
      <c r="F501" s="212">
        <v>0</v>
      </c>
    </row>
    <row r="502" spans="1:6">
      <c r="A502" s="454" t="s">
        <v>753</v>
      </c>
      <c r="B502" s="454" t="s">
        <v>962</v>
      </c>
      <c r="C502" s="454" t="s">
        <v>79</v>
      </c>
      <c r="D502" s="454">
        <v>0</v>
      </c>
      <c r="E502" s="454">
        <v>0</v>
      </c>
      <c r="F502" s="212">
        <v>0</v>
      </c>
    </row>
    <row r="503" spans="1:6">
      <c r="A503" s="454" t="s">
        <v>754</v>
      </c>
      <c r="B503" s="454" t="s">
        <v>962</v>
      </c>
      <c r="C503" s="454" t="s">
        <v>416</v>
      </c>
      <c r="D503" s="454">
        <v>37420</v>
      </c>
      <c r="E503" s="454">
        <v>37420</v>
      </c>
      <c r="F503" s="212">
        <v>102171</v>
      </c>
    </row>
    <row r="504" spans="1:6">
      <c r="A504" s="454" t="s">
        <v>755</v>
      </c>
      <c r="B504" s="454" t="s">
        <v>962</v>
      </c>
      <c r="C504" s="454" t="s">
        <v>422</v>
      </c>
      <c r="D504" s="454">
        <v>100424</v>
      </c>
      <c r="E504" s="454">
        <v>100424</v>
      </c>
      <c r="F504" s="212">
        <v>357034</v>
      </c>
    </row>
    <row r="505" spans="1:6">
      <c r="A505" s="454" t="s">
        <v>756</v>
      </c>
      <c r="B505" s="454" t="s">
        <v>962</v>
      </c>
      <c r="C505" s="454" t="s">
        <v>1303</v>
      </c>
      <c r="D505" s="454">
        <v>8974</v>
      </c>
      <c r="E505" s="454">
        <v>8974</v>
      </c>
      <c r="F505" s="212">
        <v>7872</v>
      </c>
    </row>
    <row r="506" spans="1:6">
      <c r="A506" s="454" t="s">
        <v>757</v>
      </c>
      <c r="B506" s="454" t="s">
        <v>962</v>
      </c>
      <c r="C506" s="454" t="s">
        <v>424</v>
      </c>
      <c r="D506" s="454">
        <v>12825</v>
      </c>
      <c r="E506" s="454">
        <v>12825</v>
      </c>
      <c r="F506" s="212">
        <v>11257</v>
      </c>
    </row>
    <row r="507" spans="1:6">
      <c r="A507" s="454" t="s">
        <v>758</v>
      </c>
      <c r="B507" s="454" t="s">
        <v>962</v>
      </c>
      <c r="C507" s="454" t="s">
        <v>432</v>
      </c>
      <c r="D507" s="454">
        <v>209</v>
      </c>
      <c r="E507" s="454">
        <v>209</v>
      </c>
      <c r="F507" s="212">
        <v>42</v>
      </c>
    </row>
    <row r="508" spans="1:6">
      <c r="A508" s="454" t="s">
        <v>759</v>
      </c>
      <c r="B508" s="454" t="s">
        <v>962</v>
      </c>
      <c r="C508" s="454" t="s">
        <v>191</v>
      </c>
      <c r="D508" s="454">
        <v>66976</v>
      </c>
      <c r="E508" s="454">
        <v>66976</v>
      </c>
      <c r="F508" s="212">
        <v>47926</v>
      </c>
    </row>
    <row r="509" spans="1:6">
      <c r="A509" s="454" t="s">
        <v>760</v>
      </c>
      <c r="B509" s="454" t="s">
        <v>962</v>
      </c>
      <c r="C509" s="454" t="s">
        <v>43</v>
      </c>
      <c r="D509" s="454">
        <v>0</v>
      </c>
      <c r="E509" s="454">
        <v>0</v>
      </c>
      <c r="F509" s="212">
        <v>6480</v>
      </c>
    </row>
    <row r="510" spans="1:6">
      <c r="A510" s="454" t="s">
        <v>1894</v>
      </c>
      <c r="C510" s="454" t="s">
        <v>410</v>
      </c>
      <c r="D510" s="454">
        <v>651</v>
      </c>
      <c r="E510" s="454">
        <v>651</v>
      </c>
      <c r="F510" s="212"/>
    </row>
    <row r="511" spans="1:6">
      <c r="A511" s="454" t="s">
        <v>1397</v>
      </c>
      <c r="B511" s="454" t="s">
        <v>962</v>
      </c>
      <c r="C511" s="454" t="s">
        <v>416</v>
      </c>
      <c r="D511" s="454">
        <v>1900</v>
      </c>
      <c r="E511" s="454">
        <v>1900</v>
      </c>
      <c r="F511" s="212">
        <v>1841</v>
      </c>
    </row>
    <row r="512" spans="1:6">
      <c r="A512" s="454" t="s">
        <v>1398</v>
      </c>
      <c r="B512" s="454" t="s">
        <v>962</v>
      </c>
      <c r="C512" s="454" t="s">
        <v>1303</v>
      </c>
      <c r="D512" s="454">
        <v>73768</v>
      </c>
      <c r="E512" s="454">
        <v>73768</v>
      </c>
      <c r="F512" s="212">
        <v>47237</v>
      </c>
    </row>
    <row r="513" spans="1:6">
      <c r="A513" s="454" t="s">
        <v>1399</v>
      </c>
      <c r="B513" s="454" t="s">
        <v>962</v>
      </c>
      <c r="C513" s="454" t="s">
        <v>138</v>
      </c>
      <c r="D513" s="454">
        <v>190</v>
      </c>
      <c r="E513" s="454">
        <v>190</v>
      </c>
      <c r="F513" s="212">
        <v>0</v>
      </c>
    </row>
    <row r="514" spans="1:6">
      <c r="A514" s="454" t="s">
        <v>1895</v>
      </c>
      <c r="B514" s="454" t="s">
        <v>962</v>
      </c>
      <c r="C514" s="454" t="s">
        <v>428</v>
      </c>
      <c r="D514" s="454">
        <v>1330</v>
      </c>
      <c r="E514" s="454">
        <v>1330</v>
      </c>
      <c r="F514" s="212">
        <v>0</v>
      </c>
    </row>
    <row r="515" spans="1:6">
      <c r="A515" s="454" t="s">
        <v>1400</v>
      </c>
      <c r="B515" s="454" t="s">
        <v>962</v>
      </c>
      <c r="C515" s="454" t="s">
        <v>430</v>
      </c>
      <c r="D515" s="454">
        <v>971</v>
      </c>
      <c r="E515" s="454">
        <v>971</v>
      </c>
      <c r="F515" s="212">
        <v>2399</v>
      </c>
    </row>
    <row r="516" spans="1:6">
      <c r="A516" s="454" t="s">
        <v>1401</v>
      </c>
      <c r="B516" s="454" t="s">
        <v>962</v>
      </c>
      <c r="C516" s="454" t="s">
        <v>432</v>
      </c>
      <c r="D516" s="454">
        <v>6304</v>
      </c>
      <c r="E516" s="454">
        <v>6304</v>
      </c>
      <c r="F516" s="212">
        <v>3721</v>
      </c>
    </row>
    <row r="517" spans="1:6">
      <c r="A517" s="454" t="s">
        <v>1402</v>
      </c>
      <c r="B517" s="454" t="s">
        <v>962</v>
      </c>
      <c r="C517" s="454" t="s">
        <v>191</v>
      </c>
      <c r="D517" s="454">
        <v>47500</v>
      </c>
      <c r="E517" s="454">
        <v>47500</v>
      </c>
      <c r="F517" s="212">
        <v>89630</v>
      </c>
    </row>
    <row r="518" spans="1:6">
      <c r="A518" s="454" t="s">
        <v>1403</v>
      </c>
      <c r="B518" s="454" t="s">
        <v>962</v>
      </c>
      <c r="C518" s="454" t="s">
        <v>41</v>
      </c>
      <c r="D518" s="454">
        <v>77041</v>
      </c>
      <c r="E518" s="454">
        <v>77041</v>
      </c>
      <c r="F518" s="212">
        <v>25096</v>
      </c>
    </row>
    <row r="519" spans="1:6">
      <c r="A519" s="454" t="s">
        <v>1404</v>
      </c>
      <c r="B519" s="454" t="s">
        <v>962</v>
      </c>
      <c r="C519" s="454" t="s">
        <v>43</v>
      </c>
      <c r="D519" s="454">
        <v>1476</v>
      </c>
      <c r="E519" s="454">
        <v>1476</v>
      </c>
      <c r="F519" s="212">
        <v>274</v>
      </c>
    </row>
    <row r="520" spans="1:6">
      <c r="A520" s="454" t="s">
        <v>1405</v>
      </c>
      <c r="B520" s="454" t="s">
        <v>962</v>
      </c>
      <c r="C520" s="454" t="s">
        <v>43</v>
      </c>
      <c r="D520" s="454">
        <v>6579</v>
      </c>
      <c r="E520" s="454">
        <v>6579</v>
      </c>
      <c r="F520" s="212">
        <v>3638</v>
      </c>
    </row>
    <row r="521" spans="1:6">
      <c r="A521" s="454" t="s">
        <v>1431</v>
      </c>
      <c r="B521" s="454" t="s">
        <v>962</v>
      </c>
      <c r="C521" s="454" t="s">
        <v>416</v>
      </c>
      <c r="D521" s="454">
        <v>26223</v>
      </c>
      <c r="E521" s="454">
        <v>26223</v>
      </c>
      <c r="F521" s="212">
        <v>0</v>
      </c>
    </row>
    <row r="522" spans="1:6">
      <c r="A522" s="454" t="s">
        <v>1432</v>
      </c>
      <c r="B522" s="454" t="s">
        <v>962</v>
      </c>
      <c r="C522" s="454" t="s">
        <v>422</v>
      </c>
      <c r="D522" s="454">
        <v>84457</v>
      </c>
      <c r="E522" s="454">
        <v>84457</v>
      </c>
      <c r="F522" s="212">
        <v>3776</v>
      </c>
    </row>
    <row r="523" spans="1:6">
      <c r="A523" s="454" t="s">
        <v>468</v>
      </c>
      <c r="B523" s="454" t="s">
        <v>962</v>
      </c>
      <c r="C523" s="454" t="s">
        <v>1303</v>
      </c>
      <c r="D523" s="454">
        <v>0</v>
      </c>
      <c r="E523" s="454">
        <v>0</v>
      </c>
      <c r="F523" s="212">
        <v>4542</v>
      </c>
    </row>
    <row r="524" spans="1:6">
      <c r="A524" s="454" t="s">
        <v>469</v>
      </c>
      <c r="B524" s="454" t="s">
        <v>962</v>
      </c>
      <c r="C524" s="454" t="s">
        <v>424</v>
      </c>
      <c r="D524" s="454">
        <v>8930</v>
      </c>
      <c r="E524" s="454">
        <v>8930</v>
      </c>
      <c r="F524" s="212">
        <v>13186</v>
      </c>
    </row>
    <row r="525" spans="1:6">
      <c r="A525" s="454" t="s">
        <v>470</v>
      </c>
      <c r="B525" s="454" t="s">
        <v>962</v>
      </c>
      <c r="C525" s="454" t="s">
        <v>432</v>
      </c>
      <c r="D525" s="454">
        <v>377</v>
      </c>
      <c r="E525" s="454">
        <v>377</v>
      </c>
      <c r="F525" s="212">
        <v>161</v>
      </c>
    </row>
    <row r="526" spans="1:6">
      <c r="A526" s="454" t="s">
        <v>471</v>
      </c>
      <c r="B526" s="454" t="s">
        <v>962</v>
      </c>
      <c r="C526" s="454" t="s">
        <v>191</v>
      </c>
      <c r="D526" s="454">
        <v>19369</v>
      </c>
      <c r="E526" s="454">
        <v>19369</v>
      </c>
      <c r="F526" s="212">
        <v>48888</v>
      </c>
    </row>
    <row r="527" spans="1:6">
      <c r="A527" s="454" t="s">
        <v>473</v>
      </c>
      <c r="B527" s="454" t="s">
        <v>962</v>
      </c>
      <c r="C527" s="454" t="s">
        <v>43</v>
      </c>
      <c r="D527" s="454">
        <v>532</v>
      </c>
      <c r="E527" s="454">
        <v>532</v>
      </c>
      <c r="F527" s="212">
        <v>0</v>
      </c>
    </row>
    <row r="528" spans="1:6">
      <c r="A528" s="454" t="s">
        <v>474</v>
      </c>
      <c r="B528" s="454" t="s">
        <v>962</v>
      </c>
      <c r="C528" s="454" t="s">
        <v>43</v>
      </c>
      <c r="D528" s="454">
        <v>5472</v>
      </c>
      <c r="E528" s="454">
        <v>5472</v>
      </c>
      <c r="F528" s="212">
        <v>2439</v>
      </c>
    </row>
    <row r="529" spans="1:6">
      <c r="A529" s="454" t="s">
        <v>2397</v>
      </c>
      <c r="B529" s="454" t="s">
        <v>962</v>
      </c>
      <c r="C529" s="454" t="s">
        <v>1913</v>
      </c>
      <c r="D529" s="454">
        <v>0</v>
      </c>
      <c r="E529" s="454">
        <v>0</v>
      </c>
      <c r="F529" s="212">
        <v>0</v>
      </c>
    </row>
    <row r="530" spans="1:6">
      <c r="A530" s="454" t="s">
        <v>219</v>
      </c>
      <c r="B530" s="454" t="s">
        <v>962</v>
      </c>
      <c r="C530" s="454" t="s">
        <v>399</v>
      </c>
      <c r="D530" s="454">
        <v>54462</v>
      </c>
      <c r="E530" s="454">
        <v>54462</v>
      </c>
      <c r="F530" s="212">
        <v>0</v>
      </c>
    </row>
    <row r="531" spans="1:6">
      <c r="A531" s="454" t="s">
        <v>220</v>
      </c>
      <c r="B531" s="454" t="s">
        <v>962</v>
      </c>
      <c r="C531" s="454" t="s">
        <v>416</v>
      </c>
      <c r="D531" s="454">
        <v>0</v>
      </c>
      <c r="E531" s="454">
        <v>0</v>
      </c>
      <c r="F531" s="212">
        <v>69963</v>
      </c>
    </row>
    <row r="532" spans="1:6">
      <c r="A532" s="454" t="s">
        <v>245</v>
      </c>
      <c r="B532" s="454" t="s">
        <v>962</v>
      </c>
      <c r="C532" s="454" t="s">
        <v>416</v>
      </c>
      <c r="D532" s="454">
        <v>9618</v>
      </c>
      <c r="E532" s="454">
        <v>9618</v>
      </c>
      <c r="F532" s="212">
        <v>11779</v>
      </c>
    </row>
    <row r="533" spans="1:6">
      <c r="A533" s="454" t="s">
        <v>246</v>
      </c>
      <c r="B533" s="454" t="s">
        <v>962</v>
      </c>
      <c r="C533" s="454" t="s">
        <v>422</v>
      </c>
      <c r="D533" s="454">
        <v>58710</v>
      </c>
      <c r="E533" s="454">
        <v>58710</v>
      </c>
      <c r="F533" s="212">
        <v>106827</v>
      </c>
    </row>
    <row r="534" spans="1:6">
      <c r="A534" s="454" t="s">
        <v>247</v>
      </c>
      <c r="B534" s="454" t="s">
        <v>962</v>
      </c>
      <c r="C534" s="454" t="s">
        <v>1303</v>
      </c>
      <c r="D534" s="454">
        <v>27148</v>
      </c>
      <c r="E534" s="454">
        <v>27148</v>
      </c>
      <c r="F534" s="212">
        <v>17384</v>
      </c>
    </row>
    <row r="535" spans="1:6">
      <c r="A535" s="454" t="s">
        <v>248</v>
      </c>
      <c r="B535" s="454" t="s">
        <v>962</v>
      </c>
      <c r="C535" s="454" t="s">
        <v>424</v>
      </c>
      <c r="D535" s="454">
        <v>7125</v>
      </c>
      <c r="E535" s="454">
        <v>7125</v>
      </c>
      <c r="F535" s="212">
        <v>3168</v>
      </c>
    </row>
    <row r="536" spans="1:6">
      <c r="A536" s="454" t="s">
        <v>249</v>
      </c>
      <c r="B536" s="454" t="s">
        <v>962</v>
      </c>
      <c r="C536" s="454" t="s">
        <v>432</v>
      </c>
      <c r="D536" s="454">
        <v>572</v>
      </c>
      <c r="E536" s="454">
        <v>572</v>
      </c>
      <c r="F536" s="212">
        <v>7702</v>
      </c>
    </row>
    <row r="537" spans="1:6">
      <c r="A537" s="454" t="s">
        <v>250</v>
      </c>
      <c r="B537" s="454" t="s">
        <v>962</v>
      </c>
      <c r="C537" s="454" t="s">
        <v>191</v>
      </c>
      <c r="D537" s="454">
        <v>57385</v>
      </c>
      <c r="E537" s="454">
        <v>57385</v>
      </c>
      <c r="F537" s="212">
        <v>5314</v>
      </c>
    </row>
    <row r="538" spans="1:6">
      <c r="A538" s="454" t="s">
        <v>251</v>
      </c>
      <c r="B538" s="454" t="s">
        <v>962</v>
      </c>
      <c r="C538" s="454" t="s">
        <v>41</v>
      </c>
      <c r="D538" s="454">
        <v>1900</v>
      </c>
      <c r="E538" s="454">
        <v>1900</v>
      </c>
      <c r="F538" s="212">
        <v>260</v>
      </c>
    </row>
    <row r="539" spans="1:6">
      <c r="A539" s="454" t="s">
        <v>252</v>
      </c>
      <c r="B539" s="454" t="s">
        <v>962</v>
      </c>
      <c r="C539" s="454" t="s">
        <v>43</v>
      </c>
      <c r="D539" s="454">
        <v>1416</v>
      </c>
      <c r="E539" s="454">
        <v>1416</v>
      </c>
      <c r="F539" s="212">
        <v>0</v>
      </c>
    </row>
    <row r="540" spans="1:6">
      <c r="A540" s="454" t="s">
        <v>253</v>
      </c>
      <c r="B540" s="454" t="s">
        <v>962</v>
      </c>
      <c r="C540" s="454" t="s">
        <v>43</v>
      </c>
      <c r="D540" s="454">
        <v>15022</v>
      </c>
      <c r="E540" s="454">
        <v>15022</v>
      </c>
      <c r="F540" s="212">
        <v>18185</v>
      </c>
    </row>
    <row r="541" spans="1:6">
      <c r="A541" s="454" t="s">
        <v>257</v>
      </c>
      <c r="B541" s="454" t="s">
        <v>962</v>
      </c>
      <c r="C541" s="454" t="s">
        <v>422</v>
      </c>
      <c r="D541" s="454">
        <v>17100</v>
      </c>
      <c r="E541" s="454">
        <v>17100</v>
      </c>
      <c r="F541" s="212">
        <v>0</v>
      </c>
    </row>
    <row r="542" spans="1:6">
      <c r="A542" s="454" t="s">
        <v>258</v>
      </c>
      <c r="B542" s="454" t="s">
        <v>962</v>
      </c>
      <c r="C542" s="454" t="s">
        <v>1303</v>
      </c>
      <c r="D542" s="454">
        <v>4560</v>
      </c>
      <c r="E542" s="454">
        <v>4560</v>
      </c>
      <c r="F542" s="212">
        <v>4000</v>
      </c>
    </row>
    <row r="543" spans="1:6">
      <c r="A543" s="454" t="s">
        <v>260</v>
      </c>
      <c r="B543" s="454" t="s">
        <v>962</v>
      </c>
      <c r="C543" s="454" t="s">
        <v>191</v>
      </c>
      <c r="D543" s="454">
        <v>1001</v>
      </c>
      <c r="E543" s="454">
        <v>1001</v>
      </c>
      <c r="F543" s="212">
        <v>0</v>
      </c>
    </row>
    <row r="544" spans="1:6">
      <c r="A544" s="454" t="s">
        <v>263</v>
      </c>
      <c r="B544" s="454" t="s">
        <v>962</v>
      </c>
      <c r="C544" s="454" t="s">
        <v>416</v>
      </c>
      <c r="D544" s="454">
        <v>3820</v>
      </c>
      <c r="E544" s="454">
        <v>3824</v>
      </c>
      <c r="F544" s="212">
        <v>1755</v>
      </c>
    </row>
    <row r="545" spans="1:6">
      <c r="A545" s="454" t="s">
        <v>264</v>
      </c>
      <c r="B545" s="454" t="s">
        <v>962</v>
      </c>
      <c r="C545" s="454" t="s">
        <v>1303</v>
      </c>
      <c r="D545" s="454">
        <v>3974</v>
      </c>
      <c r="E545" s="454">
        <v>3974</v>
      </c>
      <c r="F545" s="212">
        <v>3486</v>
      </c>
    </row>
    <row r="546" spans="1:6">
      <c r="A546" s="454" t="s">
        <v>265</v>
      </c>
      <c r="B546" s="454" t="s">
        <v>962</v>
      </c>
      <c r="C546" s="454" t="s">
        <v>432</v>
      </c>
      <c r="D546" s="454">
        <v>343</v>
      </c>
      <c r="E546" s="454">
        <v>343</v>
      </c>
      <c r="F546" s="212">
        <v>0</v>
      </c>
    </row>
    <row r="547" spans="1:6">
      <c r="A547" s="454" t="s">
        <v>266</v>
      </c>
      <c r="B547" s="454" t="s">
        <v>962</v>
      </c>
      <c r="C547" s="454" t="s">
        <v>191</v>
      </c>
      <c r="D547" s="454">
        <v>2667</v>
      </c>
      <c r="E547" s="454">
        <v>2667</v>
      </c>
      <c r="F547" s="212">
        <v>0</v>
      </c>
    </row>
    <row r="548" spans="1:6">
      <c r="A548" s="454" t="s">
        <v>274</v>
      </c>
      <c r="B548" s="454" t="s">
        <v>962</v>
      </c>
      <c r="C548" s="454" t="s">
        <v>410</v>
      </c>
      <c r="D548" s="454">
        <v>1900</v>
      </c>
      <c r="E548" s="454">
        <v>1900</v>
      </c>
      <c r="F548" s="212">
        <v>0</v>
      </c>
    </row>
    <row r="549" spans="1:6">
      <c r="A549" s="454" t="s">
        <v>275</v>
      </c>
      <c r="B549" s="454" t="s">
        <v>962</v>
      </c>
      <c r="C549" s="454" t="s">
        <v>41</v>
      </c>
      <c r="D549" s="454">
        <v>85500</v>
      </c>
      <c r="E549" s="454">
        <v>85500</v>
      </c>
      <c r="F549" s="212">
        <v>146330</v>
      </c>
    </row>
    <row r="550" spans="1:6">
      <c r="A550" s="454" t="s">
        <v>276</v>
      </c>
      <c r="B550" s="454" t="s">
        <v>962</v>
      </c>
      <c r="C550" s="454" t="s">
        <v>43</v>
      </c>
      <c r="D550" s="454">
        <v>11400</v>
      </c>
      <c r="E550" s="454">
        <v>11400</v>
      </c>
      <c r="F550" s="212">
        <v>0</v>
      </c>
    </row>
    <row r="551" spans="1:6">
      <c r="A551" s="454" t="s">
        <v>277</v>
      </c>
      <c r="B551" s="454" t="s">
        <v>962</v>
      </c>
      <c r="C551" s="454" t="s">
        <v>330</v>
      </c>
      <c r="D551" s="454">
        <v>5000</v>
      </c>
      <c r="E551" s="454">
        <v>5000</v>
      </c>
      <c r="F551" s="212">
        <v>0</v>
      </c>
    </row>
    <row r="552" spans="1:6">
      <c r="A552" s="454" t="s">
        <v>2366</v>
      </c>
      <c r="B552" s="454" t="s">
        <v>962</v>
      </c>
      <c r="C552" s="454" t="s">
        <v>330</v>
      </c>
      <c r="D552" s="454">
        <v>250000</v>
      </c>
      <c r="E552" s="454">
        <v>250000</v>
      </c>
      <c r="F552" s="212">
        <v>2780</v>
      </c>
    </row>
    <row r="553" spans="1:6">
      <c r="A553" s="454" t="s">
        <v>897</v>
      </c>
      <c r="B553" s="454" t="s">
        <v>962</v>
      </c>
      <c r="C553" s="454" t="s">
        <v>410</v>
      </c>
      <c r="D553" s="454">
        <v>3800</v>
      </c>
      <c r="E553" s="454">
        <v>3800</v>
      </c>
      <c r="F553" s="212">
        <v>0</v>
      </c>
    </row>
    <row r="554" spans="1:6">
      <c r="A554" s="454" t="s">
        <v>898</v>
      </c>
      <c r="B554" s="454" t="s">
        <v>962</v>
      </c>
      <c r="C554" s="454" t="s">
        <v>432</v>
      </c>
      <c r="D554" s="454">
        <v>38950</v>
      </c>
      <c r="E554" s="454">
        <v>38950</v>
      </c>
      <c r="F554" s="212">
        <v>2057</v>
      </c>
    </row>
    <row r="555" spans="1:6">
      <c r="A555" s="454" t="s">
        <v>899</v>
      </c>
      <c r="B555" s="454" t="s">
        <v>962</v>
      </c>
      <c r="C555" s="454" t="s">
        <v>41</v>
      </c>
      <c r="D555" s="454">
        <v>33250</v>
      </c>
      <c r="E555" s="454">
        <v>33250</v>
      </c>
      <c r="F555" s="212">
        <v>68510</v>
      </c>
    </row>
    <row r="556" spans="1:6">
      <c r="A556" s="454" t="s">
        <v>900</v>
      </c>
      <c r="B556" s="454" t="s">
        <v>962</v>
      </c>
      <c r="C556" s="454" t="s">
        <v>333</v>
      </c>
      <c r="D556" s="454">
        <v>35000</v>
      </c>
      <c r="E556" s="454">
        <v>35000</v>
      </c>
      <c r="F556" s="212">
        <v>0</v>
      </c>
    </row>
    <row r="557" spans="1:6">
      <c r="A557" s="454" t="s">
        <v>901</v>
      </c>
      <c r="B557" s="454" t="s">
        <v>962</v>
      </c>
      <c r="C557" s="454" t="s">
        <v>416</v>
      </c>
      <c r="D557" s="454">
        <v>9500</v>
      </c>
      <c r="E557" s="454">
        <v>9500</v>
      </c>
      <c r="F557" s="212">
        <v>0</v>
      </c>
    </row>
    <row r="558" spans="1:6">
      <c r="A558" s="454" t="s">
        <v>902</v>
      </c>
      <c r="B558" s="454" t="s">
        <v>962</v>
      </c>
      <c r="C558" s="454" t="s">
        <v>430</v>
      </c>
      <c r="D558" s="454">
        <v>4750</v>
      </c>
      <c r="E558" s="454">
        <v>4750</v>
      </c>
      <c r="F558" s="212">
        <v>0</v>
      </c>
    </row>
    <row r="559" spans="1:6">
      <c r="A559" s="454" t="s">
        <v>903</v>
      </c>
      <c r="B559" s="454" t="s">
        <v>962</v>
      </c>
      <c r="C559" s="454" t="s">
        <v>432</v>
      </c>
      <c r="D559" s="454">
        <v>10000</v>
      </c>
      <c r="E559" s="454">
        <v>0</v>
      </c>
      <c r="F559" s="212">
        <v>0</v>
      </c>
    </row>
    <row r="560" spans="1:6">
      <c r="A560" s="454" t="s">
        <v>904</v>
      </c>
      <c r="B560" s="454" t="s">
        <v>962</v>
      </c>
      <c r="C560" s="454" t="s">
        <v>191</v>
      </c>
      <c r="D560" s="454">
        <v>9500</v>
      </c>
      <c r="E560" s="454">
        <v>9500</v>
      </c>
      <c r="F560" s="212">
        <v>0</v>
      </c>
    </row>
    <row r="561" spans="1:6">
      <c r="A561" s="454" t="s">
        <v>905</v>
      </c>
      <c r="B561" s="454" t="s">
        <v>962</v>
      </c>
      <c r="C561" s="454" t="s">
        <v>41</v>
      </c>
      <c r="D561" s="454">
        <v>20000</v>
      </c>
      <c r="E561" s="454">
        <v>20000</v>
      </c>
      <c r="F561" s="212">
        <v>0</v>
      </c>
    </row>
    <row r="562" spans="1:6">
      <c r="A562" s="454" t="s">
        <v>906</v>
      </c>
      <c r="B562" s="454" t="s">
        <v>962</v>
      </c>
      <c r="C562" s="454" t="s">
        <v>43</v>
      </c>
      <c r="D562" s="454">
        <v>11400</v>
      </c>
      <c r="E562" s="454">
        <v>11400</v>
      </c>
      <c r="F562" s="212">
        <v>0</v>
      </c>
    </row>
    <row r="563" spans="1:6">
      <c r="A563" s="454" t="s">
        <v>907</v>
      </c>
      <c r="B563" s="454" t="s">
        <v>962</v>
      </c>
      <c r="C563" s="454" t="s">
        <v>43</v>
      </c>
      <c r="D563" s="454">
        <v>15200</v>
      </c>
      <c r="E563" s="454">
        <v>15200</v>
      </c>
      <c r="F563" s="212">
        <v>0</v>
      </c>
    </row>
    <row r="564" spans="1:6">
      <c r="A564" s="454" t="s">
        <v>909</v>
      </c>
      <c r="B564" s="454" t="s">
        <v>962</v>
      </c>
      <c r="C564" s="454" t="s">
        <v>416</v>
      </c>
      <c r="D564" s="454">
        <v>9500</v>
      </c>
      <c r="E564" s="454">
        <v>9500</v>
      </c>
      <c r="F564" s="212">
        <v>2500</v>
      </c>
    </row>
    <row r="565" spans="1:6">
      <c r="A565" s="454" t="s">
        <v>910</v>
      </c>
      <c r="B565" s="454" t="s">
        <v>962</v>
      </c>
      <c r="C565" s="454" t="s">
        <v>430</v>
      </c>
      <c r="D565" s="454">
        <v>4750</v>
      </c>
      <c r="E565" s="454">
        <v>4750</v>
      </c>
      <c r="F565" s="212">
        <v>0</v>
      </c>
    </row>
    <row r="566" spans="1:6">
      <c r="A566" s="454" t="s">
        <v>911</v>
      </c>
      <c r="B566" s="454" t="s">
        <v>962</v>
      </c>
      <c r="C566" s="454" t="s">
        <v>432</v>
      </c>
      <c r="D566" s="454">
        <v>5000</v>
      </c>
      <c r="E566" s="454">
        <v>5000</v>
      </c>
      <c r="F566" s="212">
        <v>0</v>
      </c>
    </row>
    <row r="567" spans="1:6">
      <c r="A567" s="454" t="s">
        <v>912</v>
      </c>
      <c r="B567" s="454" t="s">
        <v>962</v>
      </c>
      <c r="C567" s="454" t="s">
        <v>191</v>
      </c>
      <c r="D567" s="454">
        <v>14250</v>
      </c>
      <c r="E567" s="454">
        <v>14250</v>
      </c>
      <c r="F567" s="212">
        <v>0</v>
      </c>
    </row>
    <row r="568" spans="1:6">
      <c r="A568" s="454" t="s">
        <v>913</v>
      </c>
      <c r="B568" s="454" t="s">
        <v>962</v>
      </c>
      <c r="C568" s="454" t="s">
        <v>41</v>
      </c>
      <c r="D568" s="454">
        <v>20000</v>
      </c>
      <c r="E568" s="454">
        <v>5000</v>
      </c>
      <c r="F568" s="212">
        <v>7523</v>
      </c>
    </row>
    <row r="569" spans="1:6">
      <c r="A569" s="454" t="s">
        <v>914</v>
      </c>
      <c r="B569" s="454" t="s">
        <v>962</v>
      </c>
      <c r="C569" s="454" t="s">
        <v>43</v>
      </c>
      <c r="D569" s="454">
        <v>3800</v>
      </c>
      <c r="E569" s="454">
        <v>3800</v>
      </c>
      <c r="F569" s="212">
        <v>0</v>
      </c>
    </row>
    <row r="570" spans="1:6">
      <c r="A570" s="454" t="s">
        <v>915</v>
      </c>
      <c r="B570" s="454" t="s">
        <v>962</v>
      </c>
      <c r="C570" s="454" t="s">
        <v>43</v>
      </c>
      <c r="D570" s="454">
        <v>3800</v>
      </c>
      <c r="E570" s="454">
        <v>3800</v>
      </c>
      <c r="F570" s="212">
        <v>0</v>
      </c>
    </row>
    <row r="571" spans="1:6">
      <c r="A571" s="454" t="s">
        <v>917</v>
      </c>
      <c r="B571" s="454" t="s">
        <v>962</v>
      </c>
      <c r="C571" s="454" t="s">
        <v>416</v>
      </c>
      <c r="D571" s="454">
        <v>9500</v>
      </c>
      <c r="E571" s="454">
        <v>9500</v>
      </c>
      <c r="F571" s="212">
        <v>0</v>
      </c>
    </row>
    <row r="572" spans="1:6">
      <c r="A572" s="454" t="s">
        <v>918</v>
      </c>
      <c r="B572" s="454" t="s">
        <v>962</v>
      </c>
      <c r="C572" s="454" t="s">
        <v>430</v>
      </c>
      <c r="D572" s="454">
        <v>4750</v>
      </c>
      <c r="E572" s="454">
        <v>4750</v>
      </c>
      <c r="F572" s="212">
        <v>0</v>
      </c>
    </row>
    <row r="573" spans="1:6">
      <c r="A573" s="454" t="s">
        <v>919</v>
      </c>
      <c r="B573" s="454" t="s">
        <v>962</v>
      </c>
      <c r="C573" s="454" t="s">
        <v>432</v>
      </c>
      <c r="D573" s="454">
        <v>5000</v>
      </c>
      <c r="E573" s="454">
        <v>5000</v>
      </c>
      <c r="F573" s="212">
        <v>0</v>
      </c>
    </row>
    <row r="574" spans="1:6">
      <c r="A574" s="454" t="s">
        <v>920</v>
      </c>
      <c r="B574" s="454" t="s">
        <v>962</v>
      </c>
      <c r="C574" s="454" t="s">
        <v>191</v>
      </c>
      <c r="D574" s="454">
        <v>9500</v>
      </c>
      <c r="E574" s="454">
        <v>9500</v>
      </c>
      <c r="F574" s="212">
        <v>0</v>
      </c>
    </row>
    <row r="575" spans="1:6">
      <c r="A575" s="454" t="s">
        <v>921</v>
      </c>
      <c r="B575" s="454" t="s">
        <v>962</v>
      </c>
      <c r="C575" s="454" t="s">
        <v>41</v>
      </c>
      <c r="D575" s="454">
        <v>47500</v>
      </c>
      <c r="E575" s="454">
        <v>12500</v>
      </c>
      <c r="F575" s="212">
        <v>0</v>
      </c>
    </row>
    <row r="576" spans="1:6">
      <c r="A576" s="454" t="s">
        <v>922</v>
      </c>
      <c r="B576" s="454" t="s">
        <v>962</v>
      </c>
      <c r="C576" s="454" t="s">
        <v>43</v>
      </c>
      <c r="D576" s="454">
        <v>1520</v>
      </c>
      <c r="E576" s="454">
        <v>1520</v>
      </c>
      <c r="F576" s="212">
        <v>0</v>
      </c>
    </row>
    <row r="577" spans="1:6">
      <c r="A577" s="454" t="s">
        <v>923</v>
      </c>
      <c r="B577" s="454" t="s">
        <v>962</v>
      </c>
      <c r="C577" s="454" t="s">
        <v>43</v>
      </c>
      <c r="D577" s="454">
        <v>7600</v>
      </c>
      <c r="E577" s="454">
        <v>7600</v>
      </c>
      <c r="F577" s="212">
        <v>0</v>
      </c>
    </row>
    <row r="578" spans="1:6">
      <c r="A578" s="454" t="s">
        <v>947</v>
      </c>
      <c r="B578" s="454" t="s">
        <v>962</v>
      </c>
      <c r="C578" s="454" t="s">
        <v>416</v>
      </c>
      <c r="D578" s="454">
        <v>14250</v>
      </c>
      <c r="E578" s="454">
        <v>14250</v>
      </c>
      <c r="F578" s="212">
        <v>10643</v>
      </c>
    </row>
    <row r="579" spans="1:6">
      <c r="A579" s="454" t="s">
        <v>948</v>
      </c>
      <c r="B579" s="454" t="s">
        <v>962</v>
      </c>
      <c r="C579" s="454" t="s">
        <v>422</v>
      </c>
      <c r="D579" s="454">
        <v>95000</v>
      </c>
      <c r="E579" s="454">
        <v>95000</v>
      </c>
      <c r="F579" s="212">
        <v>137255</v>
      </c>
    </row>
    <row r="580" spans="1:6">
      <c r="A580" s="454" t="s">
        <v>949</v>
      </c>
      <c r="B580" s="454" t="s">
        <v>962</v>
      </c>
      <c r="C580" s="454" t="s">
        <v>1303</v>
      </c>
      <c r="D580" s="454">
        <v>17540</v>
      </c>
      <c r="E580" s="454">
        <v>17540</v>
      </c>
      <c r="F580" s="212">
        <v>26589</v>
      </c>
    </row>
    <row r="581" spans="1:6">
      <c r="A581" s="454" t="s">
        <v>950</v>
      </c>
      <c r="B581" s="454" t="s">
        <v>962</v>
      </c>
      <c r="C581" s="454" t="s">
        <v>424</v>
      </c>
      <c r="D581" s="454">
        <v>19000</v>
      </c>
      <c r="E581" s="454">
        <v>19000</v>
      </c>
      <c r="F581" s="212">
        <v>6432</v>
      </c>
    </row>
    <row r="582" spans="1:6">
      <c r="A582" s="454" t="s">
        <v>951</v>
      </c>
      <c r="B582" s="454" t="s">
        <v>962</v>
      </c>
      <c r="C582" s="454" t="s">
        <v>430</v>
      </c>
      <c r="D582" s="454">
        <v>14250</v>
      </c>
      <c r="E582" s="454">
        <v>14250</v>
      </c>
      <c r="F582" s="212">
        <v>9486</v>
      </c>
    </row>
    <row r="583" spans="1:6">
      <c r="A583" s="454" t="s">
        <v>952</v>
      </c>
      <c r="B583" s="454" t="s">
        <v>962</v>
      </c>
      <c r="C583" s="454" t="s">
        <v>432</v>
      </c>
      <c r="D583" s="454">
        <v>95000</v>
      </c>
      <c r="E583" s="454">
        <v>95000</v>
      </c>
      <c r="F583" s="212">
        <v>117851</v>
      </c>
    </row>
    <row r="584" spans="1:6">
      <c r="A584" s="454" t="s">
        <v>953</v>
      </c>
      <c r="B584" s="454" t="s">
        <v>962</v>
      </c>
      <c r="C584" s="454" t="s">
        <v>191</v>
      </c>
      <c r="D584" s="454">
        <v>95000</v>
      </c>
      <c r="E584" s="454">
        <v>95000</v>
      </c>
      <c r="F584" s="212">
        <v>52968</v>
      </c>
    </row>
    <row r="585" spans="1:6">
      <c r="A585" s="454" t="s">
        <v>954</v>
      </c>
      <c r="B585" s="454" t="s">
        <v>962</v>
      </c>
      <c r="C585" s="454" t="s">
        <v>41</v>
      </c>
      <c r="D585" s="454">
        <v>95000</v>
      </c>
      <c r="E585" s="454">
        <v>95000</v>
      </c>
      <c r="F585" s="212">
        <v>152071</v>
      </c>
    </row>
    <row r="586" spans="1:6">
      <c r="A586" s="454" t="s">
        <v>955</v>
      </c>
      <c r="B586" s="454" t="s">
        <v>962</v>
      </c>
      <c r="C586" s="454" t="s">
        <v>43</v>
      </c>
      <c r="D586" s="454">
        <v>28500</v>
      </c>
      <c r="E586" s="454">
        <v>28500</v>
      </c>
      <c r="F586" s="212">
        <v>25936</v>
      </c>
    </row>
    <row r="587" spans="1:6">
      <c r="A587" s="454" t="s">
        <v>956</v>
      </c>
      <c r="B587" s="454" t="s">
        <v>962</v>
      </c>
      <c r="C587" s="454" t="s">
        <v>43</v>
      </c>
      <c r="D587" s="454">
        <v>28500</v>
      </c>
      <c r="E587" s="454">
        <v>28500</v>
      </c>
      <c r="F587" s="212">
        <v>18881</v>
      </c>
    </row>
    <row r="588" spans="1:6">
      <c r="A588" s="454" t="s">
        <v>957</v>
      </c>
      <c r="B588" s="454" t="s">
        <v>962</v>
      </c>
      <c r="C588" s="454" t="s">
        <v>943</v>
      </c>
      <c r="D588" s="454">
        <v>19000</v>
      </c>
      <c r="E588" s="454">
        <v>19000</v>
      </c>
      <c r="F588" s="212">
        <v>0</v>
      </c>
    </row>
    <row r="589" spans="1:6">
      <c r="A589" s="454" t="s">
        <v>2398</v>
      </c>
      <c r="B589" s="454" t="s">
        <v>962</v>
      </c>
      <c r="C589" s="454" t="s">
        <v>1914</v>
      </c>
      <c r="D589" s="454">
        <v>0</v>
      </c>
      <c r="E589" s="454">
        <v>0</v>
      </c>
      <c r="F589" s="212">
        <v>360765</v>
      </c>
    </row>
    <row r="590" spans="1:6">
      <c r="A590" s="454" t="s">
        <v>2399</v>
      </c>
      <c r="B590" s="454" t="s">
        <v>962</v>
      </c>
      <c r="C590" s="454" t="s">
        <v>1915</v>
      </c>
      <c r="D590" s="454">
        <v>0</v>
      </c>
      <c r="E590" s="454">
        <v>0</v>
      </c>
      <c r="F590" s="212">
        <v>117515</v>
      </c>
    </row>
    <row r="591" spans="1:6">
      <c r="F591" s="212"/>
    </row>
    <row r="592" spans="1:6" ht="13.5" thickBot="1">
      <c r="D592" s="860">
        <f>SUM(D372:D590)</f>
        <v>22261827</v>
      </c>
      <c r="E592" s="860">
        <f>SUM(E372:E591)</f>
        <v>22181831</v>
      </c>
      <c r="F592" s="860">
        <f>SUM(F372:F591)</f>
        <v>31884775</v>
      </c>
    </row>
    <row r="593" spans="4:6" ht="13.5" thickTop="1"/>
    <row r="594" spans="4:6">
      <c r="D594" s="454">
        <f>SUM(D89:D592)/2</f>
        <v>139419281</v>
      </c>
      <c r="E594" s="454">
        <f>SUM(E89:E592)/2</f>
        <v>126121748</v>
      </c>
      <c r="F594" s="454">
        <f>SUM(F88:F592)/2</f>
        <v>126121748</v>
      </c>
    </row>
    <row r="595" spans="4:6">
      <c r="D595" s="454">
        <v>-139419281</v>
      </c>
      <c r="E595" s="454">
        <v>-126121748</v>
      </c>
      <c r="F595" s="454">
        <v>-126121748</v>
      </c>
    </row>
    <row r="596" spans="4:6">
      <c r="D596" s="454">
        <f>SUM(D594:D595)</f>
        <v>0</v>
      </c>
      <c r="E596" s="454">
        <f>SUM(E594:E595)</f>
        <v>0</v>
      </c>
      <c r="F596" s="454">
        <f>SUM(F594:F595)</f>
        <v>0</v>
      </c>
    </row>
  </sheetData>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sheetPr>
    <pageSetUpPr fitToPage="1"/>
  </sheetPr>
  <dimension ref="A1:J69"/>
  <sheetViews>
    <sheetView view="pageBreakPreview" topLeftCell="A36" zoomScaleSheetLayoutView="100" workbookViewId="0">
      <selection activeCell="B25" sqref="B25"/>
    </sheetView>
  </sheetViews>
  <sheetFormatPr defaultRowHeight="12.75"/>
  <cols>
    <col min="1" max="1" width="6" style="1107" customWidth="1"/>
    <col min="2" max="2" width="58" style="1106" bestFit="1" customWidth="1"/>
    <col min="3" max="8" width="14.7109375" style="1112" customWidth="1"/>
    <col min="9" max="9" width="6" style="1106" customWidth="1"/>
    <col min="10" max="16384" width="9.140625" style="1106"/>
  </cols>
  <sheetData>
    <row r="1" spans="1:10" ht="15" customHeight="1">
      <c r="A1" s="1812" t="s">
        <v>1349</v>
      </c>
      <c r="B1" s="1812"/>
      <c r="C1" s="1812"/>
      <c r="D1" s="1812"/>
      <c r="E1" s="1812"/>
      <c r="F1" s="1104"/>
      <c r="G1" s="1104"/>
      <c r="H1" s="1104"/>
      <c r="I1" s="1105"/>
      <c r="J1" s="1105"/>
    </row>
    <row r="2" spans="1:10" ht="15" customHeight="1">
      <c r="A2" s="1812" t="s">
        <v>2075</v>
      </c>
      <c r="B2" s="1812"/>
      <c r="C2" s="1812"/>
      <c r="D2" s="1812"/>
      <c r="E2" s="1812"/>
      <c r="F2" s="1104"/>
      <c r="G2" s="1104"/>
      <c r="H2" s="1104"/>
      <c r="I2" s="1105"/>
      <c r="J2" s="1105"/>
    </row>
    <row r="3" spans="1:10">
      <c r="A3" s="1107" t="s">
        <v>2340</v>
      </c>
      <c r="B3" s="1108" t="s">
        <v>2296</v>
      </c>
      <c r="C3" s="1109"/>
      <c r="D3" s="1110"/>
      <c r="E3" s="1111"/>
    </row>
    <row r="4" spans="1:10">
      <c r="B4" s="1113"/>
      <c r="C4" s="1109"/>
      <c r="D4" s="1110"/>
      <c r="E4" s="1111"/>
    </row>
    <row r="5" spans="1:10">
      <c r="B5" s="1110"/>
      <c r="C5" s="1109"/>
      <c r="D5" s="1110"/>
      <c r="E5" s="1114"/>
    </row>
    <row r="6" spans="1:10" ht="25.5">
      <c r="B6" s="1115" t="s">
        <v>2297</v>
      </c>
      <c r="C6" s="1116" t="s">
        <v>338</v>
      </c>
      <c r="D6" s="1116" t="s">
        <v>338</v>
      </c>
      <c r="E6" s="1117" t="s">
        <v>1108</v>
      </c>
    </row>
    <row r="7" spans="1:10">
      <c r="B7" s="1118"/>
      <c r="C7" s="1119" t="str">
        <f>IF([3]Cover!$E$12="Select level of rounding"," ",IF([3]Cover!$E$12 = "R  (i.e. only cents)", "R", "R'000"))</f>
        <v>R</v>
      </c>
      <c r="D7" s="1119" t="str">
        <f>IF([3]Cover!$E$12="Select level of rounding"," ",IF([3]Cover!$E$12 = "R  (i.e. only cents)", "R", "R'000"))</f>
        <v>R</v>
      </c>
      <c r="E7" s="1119" t="str">
        <f>IF([3]Cover!$E$12="Select level of rounding"," ",IF([3]Cover!$E$12 = "R  (i.e. only cents)", "R", "R'000"))</f>
        <v>R</v>
      </c>
    </row>
    <row r="8" spans="1:10">
      <c r="B8" s="1118"/>
      <c r="C8" s="1120"/>
      <c r="D8" s="1120"/>
      <c r="E8" s="1120"/>
    </row>
    <row r="9" spans="1:10">
      <c r="B9" s="1121" t="s">
        <v>2351</v>
      </c>
      <c r="C9" s="1122">
        <f>[3]SCOA!H287</f>
        <v>0</v>
      </c>
      <c r="D9" s="1122">
        <f>[3]SCOA!H294</f>
        <v>0</v>
      </c>
      <c r="E9" s="1122">
        <f>C9+D9</f>
        <v>0</v>
      </c>
    </row>
    <row r="10" spans="1:10">
      <c r="B10" s="1118"/>
      <c r="C10" s="1123"/>
      <c r="D10" s="1123"/>
      <c r="E10" s="1124"/>
    </row>
    <row r="11" spans="1:10">
      <c r="B11" s="1118" t="s">
        <v>539</v>
      </c>
      <c r="C11" s="1123">
        <f>[3]SCOA!H288</f>
        <v>0</v>
      </c>
      <c r="D11" s="1123">
        <f>[3]SCOA!H295</f>
        <v>0</v>
      </c>
      <c r="E11" s="1124">
        <f>C11+D11</f>
        <v>0</v>
      </c>
    </row>
    <row r="12" spans="1:10">
      <c r="B12" s="1118" t="s">
        <v>2298</v>
      </c>
      <c r="C12" s="1123">
        <f>[3]SCOA!H290</f>
        <v>0</v>
      </c>
      <c r="D12" s="1123">
        <f>[3]SCOA!H297</f>
        <v>0</v>
      </c>
      <c r="E12" s="1124">
        <f>C12+D12</f>
        <v>0</v>
      </c>
    </row>
    <row r="13" spans="1:10">
      <c r="B13" s="1118"/>
      <c r="C13" s="1123"/>
      <c r="D13" s="1123"/>
      <c r="E13" s="1122"/>
    </row>
    <row r="14" spans="1:10">
      <c r="B14" s="1118" t="s">
        <v>2299</v>
      </c>
      <c r="C14" s="1123">
        <f>[3]SCOA!H289</f>
        <v>0</v>
      </c>
      <c r="D14" s="1123">
        <f>[3]SCOA!H296</f>
        <v>0</v>
      </c>
      <c r="E14" s="1124">
        <f>C14+D14</f>
        <v>0</v>
      </c>
    </row>
    <row r="15" spans="1:10">
      <c r="B15" s="1125" t="s">
        <v>2262</v>
      </c>
      <c r="C15" s="1123">
        <f>[3]SCOA!H292</f>
        <v>0</v>
      </c>
      <c r="D15" s="1123">
        <f>[3]SCOA!H299</f>
        <v>0</v>
      </c>
      <c r="E15" s="1124">
        <f>C15+D15</f>
        <v>0</v>
      </c>
    </row>
    <row r="16" spans="1:10">
      <c r="B16" s="1118" t="s">
        <v>2263</v>
      </c>
      <c r="C16" s="1123">
        <f>[3]SCOA!H291</f>
        <v>0</v>
      </c>
      <c r="D16" s="1123">
        <f>[3]SCOA!H298</f>
        <v>0</v>
      </c>
      <c r="E16" s="1124">
        <f>C16+D16</f>
        <v>0</v>
      </c>
    </row>
    <row r="17" spans="2:5">
      <c r="B17" s="1118" t="s">
        <v>1352</v>
      </c>
      <c r="C17" s="1123">
        <f>[3]SCOA!H293</f>
        <v>0</v>
      </c>
      <c r="D17" s="1123">
        <f>[3]SCOA!H300</f>
        <v>0</v>
      </c>
      <c r="E17" s="1124">
        <f>C17+D17</f>
        <v>0</v>
      </c>
    </row>
    <row r="18" spans="2:5">
      <c r="B18" s="1118"/>
      <c r="C18" s="1123"/>
      <c r="D18" s="1123"/>
      <c r="E18" s="1124"/>
    </row>
    <row r="19" spans="2:5" ht="13.5" thickBot="1">
      <c r="B19" s="1121" t="s">
        <v>2352</v>
      </c>
      <c r="C19" s="1126">
        <f>SUM(C9:C17)</f>
        <v>0</v>
      </c>
      <c r="D19" s="1126">
        <f>SUM(D9:D17)</f>
        <v>0</v>
      </c>
      <c r="E19" s="1126">
        <f>C19+D19</f>
        <v>0</v>
      </c>
    </row>
    <row r="20" spans="2:5" ht="13.5" thickTop="1">
      <c r="B20" s="1118"/>
      <c r="C20" s="1120"/>
      <c r="D20" s="1120"/>
      <c r="E20" s="1127"/>
    </row>
    <row r="21" spans="2:5" ht="25.5">
      <c r="B21" s="1115" t="s">
        <v>2297</v>
      </c>
      <c r="C21" s="1116" t="s">
        <v>338</v>
      </c>
      <c r="D21" s="1116" t="s">
        <v>338</v>
      </c>
      <c r="E21" s="1117" t="s">
        <v>1108</v>
      </c>
    </row>
    <row r="22" spans="2:5">
      <c r="B22" s="1118"/>
      <c r="C22" s="1119" t="str">
        <f>IF([3]Cover!$E$12="Select level of rounding"," ",IF([3]Cover!$E$12 = "R  (i.e. only cents)", "R", "R'000"))</f>
        <v>R</v>
      </c>
      <c r="D22" s="1119" t="str">
        <f>IF([3]Cover!$E$12="Select level of rounding"," ",IF([3]Cover!$E$12 = "R  (i.e. only cents)", "R", "R'000"))</f>
        <v>R</v>
      </c>
      <c r="E22" s="1119" t="str">
        <f>IF([3]Cover!$E$12="Select level of rounding"," ",IF([3]Cover!$E$12 = "R  (i.e. only cents)", "R", "R'000"))</f>
        <v>R</v>
      </c>
    </row>
    <row r="23" spans="2:5">
      <c r="B23" s="1118"/>
      <c r="C23" s="1120"/>
      <c r="D23" s="1120"/>
      <c r="E23" s="1120"/>
    </row>
    <row r="24" spans="2:5">
      <c r="B24" s="1121" t="s">
        <v>2351</v>
      </c>
      <c r="C24" s="1122">
        <f>[3]SCOA!I287</f>
        <v>0</v>
      </c>
      <c r="D24" s="1122">
        <f>[3]SCOA!I294</f>
        <v>0</v>
      </c>
      <c r="E24" s="1122">
        <f>C24+D24</f>
        <v>0</v>
      </c>
    </row>
    <row r="25" spans="2:5">
      <c r="B25" s="1118"/>
      <c r="C25" s="1123"/>
      <c r="D25" s="1123"/>
      <c r="E25" s="1124"/>
    </row>
    <row r="26" spans="2:5">
      <c r="B26" s="1118" t="s">
        <v>539</v>
      </c>
      <c r="C26" s="1123">
        <f>[3]SCOA!I288</f>
        <v>0</v>
      </c>
      <c r="D26" s="1123">
        <f>[3]SCOA!I295</f>
        <v>0</v>
      </c>
      <c r="E26" s="1124">
        <f>C26+D26</f>
        <v>0</v>
      </c>
    </row>
    <row r="27" spans="2:5">
      <c r="B27" s="1118" t="s">
        <v>2298</v>
      </c>
      <c r="C27" s="1123">
        <f>[3]SCOA!I290</f>
        <v>0</v>
      </c>
      <c r="D27" s="1123">
        <f>[3]SCOA!I297</f>
        <v>0</v>
      </c>
      <c r="E27" s="1124">
        <f>C27+D27</f>
        <v>0</v>
      </c>
    </row>
    <row r="28" spans="2:5">
      <c r="B28" s="1118"/>
      <c r="C28" s="1123"/>
      <c r="D28" s="1123"/>
      <c r="E28" s="1122"/>
    </row>
    <row r="29" spans="2:5">
      <c r="B29" s="1118" t="s">
        <v>2299</v>
      </c>
      <c r="C29" s="1123">
        <f>[3]SCOA!I289</f>
        <v>0</v>
      </c>
      <c r="D29" s="1123">
        <f>[3]SCOA!I296</f>
        <v>0</v>
      </c>
      <c r="E29" s="1124">
        <f>C29+D29</f>
        <v>0</v>
      </c>
    </row>
    <row r="30" spans="2:5">
      <c r="B30" s="1125" t="s">
        <v>2262</v>
      </c>
      <c r="C30" s="1123">
        <f>[3]SCOA!I292</f>
        <v>0</v>
      </c>
      <c r="D30" s="1123">
        <f>[3]SCOA!I299</f>
        <v>0</v>
      </c>
      <c r="E30" s="1124">
        <f>C30+D30</f>
        <v>0</v>
      </c>
    </row>
    <row r="31" spans="2:5">
      <c r="B31" s="1118" t="s">
        <v>2263</v>
      </c>
      <c r="C31" s="1123">
        <f>[3]SCOA!I291</f>
        <v>0</v>
      </c>
      <c r="D31" s="1123">
        <f>[3]SCOA!I298</f>
        <v>0</v>
      </c>
      <c r="E31" s="1124">
        <f>C31+D31</f>
        <v>0</v>
      </c>
    </row>
    <row r="32" spans="2:5">
      <c r="B32" s="1118" t="s">
        <v>1352</v>
      </c>
      <c r="C32" s="1123">
        <f>[3]SCOA!I293</f>
        <v>0</v>
      </c>
      <c r="D32" s="1123">
        <f>[3]SCOA!I299</f>
        <v>0</v>
      </c>
      <c r="E32" s="1124">
        <f>C32+D32</f>
        <v>0</v>
      </c>
    </row>
    <row r="33" spans="2:5">
      <c r="B33" s="1118"/>
      <c r="C33" s="1123"/>
      <c r="D33" s="1123"/>
      <c r="E33" s="1124"/>
    </row>
    <row r="34" spans="2:5" ht="13.5" thickBot="1">
      <c r="B34" s="1121" t="s">
        <v>2352</v>
      </c>
      <c r="C34" s="1126">
        <f>SUM(C24:C32)</f>
        <v>0</v>
      </c>
      <c r="D34" s="1126">
        <f>SUM(D24:D32)</f>
        <v>0</v>
      </c>
      <c r="E34" s="1126">
        <f>C34+D34</f>
        <v>0</v>
      </c>
    </row>
    <row r="35" spans="2:5" ht="13.5" thickTop="1">
      <c r="B35" s="1115"/>
      <c r="C35" s="1122"/>
      <c r="D35" s="1122"/>
      <c r="E35" s="1122"/>
    </row>
    <row r="36" spans="2:5">
      <c r="B36" s="1118" t="s">
        <v>2288</v>
      </c>
      <c r="C36" s="1128"/>
      <c r="D36" s="1129"/>
      <c r="E36" s="1129"/>
    </row>
    <row r="37" spans="2:5">
      <c r="B37" s="1118"/>
      <c r="C37" s="1128"/>
      <c r="D37" s="1123"/>
      <c r="E37" s="1123"/>
    </row>
    <row r="38" spans="2:5">
      <c r="B38" s="1115" t="s">
        <v>2282</v>
      </c>
      <c r="C38" s="1128"/>
      <c r="D38" s="1123"/>
      <c r="E38" s="1123"/>
    </row>
    <row r="39" spans="2:5">
      <c r="B39" s="1118"/>
      <c r="C39" s="1128"/>
      <c r="D39" s="1123"/>
      <c r="E39" s="1123"/>
    </row>
    <row r="40" spans="2:5">
      <c r="B40" s="1115" t="s">
        <v>2145</v>
      </c>
      <c r="C40" s="1128"/>
      <c r="D40" s="1123"/>
      <c r="E40" s="1123"/>
    </row>
    <row r="41" spans="2:5">
      <c r="B41" s="1118" t="s">
        <v>2266</v>
      </c>
      <c r="C41" s="1128"/>
      <c r="D41" s="1123"/>
      <c r="E41" s="1123"/>
    </row>
    <row r="42" spans="2:5">
      <c r="B42" s="1118" t="s">
        <v>2284</v>
      </c>
      <c r="C42" s="1128"/>
      <c r="D42" s="1123"/>
      <c r="E42" s="1123"/>
    </row>
    <row r="43" spans="2:5">
      <c r="B43" s="1118" t="s">
        <v>2285</v>
      </c>
      <c r="C43" s="1128"/>
      <c r="D43" s="1123"/>
      <c r="E43" s="1123"/>
    </row>
    <row r="44" spans="2:5">
      <c r="B44" s="1118" t="s">
        <v>2268</v>
      </c>
      <c r="C44" s="1128"/>
      <c r="D44" s="1123"/>
      <c r="E44" s="1123"/>
    </row>
    <row r="45" spans="2:5" ht="13.5" thickBot="1">
      <c r="B45" s="1118"/>
      <c r="C45" s="1128"/>
      <c r="D45" s="1130">
        <f>SUM(D42:D44)</f>
        <v>0</v>
      </c>
      <c r="E45" s="1130">
        <f>SUM(E42:E44)</f>
        <v>0</v>
      </c>
    </row>
    <row r="46" spans="2:5" ht="13.5" thickTop="1">
      <c r="B46" s="1118"/>
      <c r="C46" s="1128"/>
      <c r="D46" s="1123"/>
      <c r="E46" s="1123"/>
    </row>
    <row r="47" spans="2:5">
      <c r="B47" s="1115" t="s">
        <v>2145</v>
      </c>
      <c r="C47" s="1128"/>
      <c r="D47" s="1123"/>
      <c r="E47" s="1123"/>
    </row>
    <row r="48" spans="2:5">
      <c r="B48" s="1118" t="s">
        <v>2266</v>
      </c>
      <c r="C48" s="1128"/>
      <c r="D48" s="1123"/>
      <c r="E48" s="1123"/>
    </row>
    <row r="49" spans="2:5">
      <c r="B49" s="1118" t="s">
        <v>2284</v>
      </c>
      <c r="C49" s="1110"/>
      <c r="D49" s="1123"/>
      <c r="E49" s="1123"/>
    </row>
    <row r="50" spans="2:5">
      <c r="B50" s="1118" t="s">
        <v>2285</v>
      </c>
      <c r="C50" s="1128"/>
      <c r="D50" s="1123"/>
      <c r="E50" s="1123"/>
    </row>
    <row r="51" spans="2:5">
      <c r="B51" s="1118" t="s">
        <v>2268</v>
      </c>
      <c r="C51" s="1128"/>
      <c r="D51" s="1123"/>
      <c r="E51" s="1123"/>
    </row>
    <row r="52" spans="2:5" ht="13.5" thickBot="1">
      <c r="B52" s="1118"/>
      <c r="C52" s="1128"/>
      <c r="D52" s="1130">
        <f>SUM(D49:D51)</f>
        <v>0</v>
      </c>
      <c r="E52" s="1130">
        <f>SUM(E49:E51)</f>
        <v>0</v>
      </c>
    </row>
    <row r="53" spans="2:5" ht="13.5" thickTop="1">
      <c r="B53" s="1118"/>
      <c r="C53" s="1128"/>
      <c r="D53" s="1123"/>
      <c r="E53" s="1123"/>
    </row>
    <row r="54" spans="2:5">
      <c r="B54" s="1118" t="s">
        <v>2293</v>
      </c>
      <c r="C54" s="1110"/>
      <c r="D54" s="1123"/>
      <c r="E54" s="1123"/>
    </row>
    <row r="55" spans="2:5">
      <c r="B55" s="1118" t="s">
        <v>2294</v>
      </c>
      <c r="C55" s="1128"/>
      <c r="D55" s="1123"/>
      <c r="E55" s="1123"/>
    </row>
    <row r="56" spans="2:5">
      <c r="B56" s="1118" t="s">
        <v>2295</v>
      </c>
      <c r="C56" s="1128"/>
      <c r="D56" s="1123"/>
      <c r="E56" s="1123"/>
    </row>
    <row r="57" spans="2:5">
      <c r="B57" s="1118"/>
      <c r="C57" s="1128"/>
      <c r="D57" s="1120"/>
      <c r="E57" s="1120"/>
    </row>
    <row r="58" spans="2:5">
      <c r="B58" s="1115" t="s">
        <v>2271</v>
      </c>
      <c r="C58" s="1128"/>
      <c r="D58" s="1120"/>
      <c r="E58" s="1120"/>
    </row>
    <row r="59" spans="2:5">
      <c r="B59" s="1118"/>
      <c r="C59" s="1128"/>
      <c r="D59" s="1120"/>
      <c r="E59" s="1120"/>
    </row>
    <row r="60" spans="2:5" ht="63.75">
      <c r="B60" s="1131" t="s">
        <v>2290</v>
      </c>
      <c r="C60" s="1128"/>
      <c r="D60" s="1120"/>
      <c r="E60" s="1120"/>
    </row>
    <row r="61" spans="2:5">
      <c r="B61" s="1118" t="s">
        <v>2291</v>
      </c>
      <c r="C61" s="1128"/>
      <c r="D61" s="1120"/>
      <c r="E61" s="1120"/>
    </row>
    <row r="62" spans="2:5" ht="38.25">
      <c r="B62" s="1128" t="s">
        <v>2300</v>
      </c>
      <c r="C62" s="1128"/>
      <c r="D62" s="1120"/>
      <c r="E62" s="1120"/>
    </row>
    <row r="63" spans="2:5">
      <c r="B63" s="1118" t="s">
        <v>1588</v>
      </c>
      <c r="C63" s="1128"/>
      <c r="D63" s="1120"/>
      <c r="E63" s="1120"/>
    </row>
    <row r="64" spans="2:5">
      <c r="B64" s="1118" t="s">
        <v>364</v>
      </c>
      <c r="C64" s="1128"/>
      <c r="D64" s="1120"/>
      <c r="E64" s="1120"/>
    </row>
    <row r="65" spans="2:5">
      <c r="B65" s="1118" t="s">
        <v>364</v>
      </c>
      <c r="C65" s="1128"/>
      <c r="D65" s="1120"/>
      <c r="E65" s="1120"/>
    </row>
    <row r="66" spans="2:5">
      <c r="B66" s="1118" t="s">
        <v>2275</v>
      </c>
      <c r="C66" s="1128"/>
      <c r="D66" s="1120"/>
      <c r="E66" s="1120"/>
    </row>
    <row r="67" spans="2:5">
      <c r="B67" s="1132"/>
      <c r="C67" s="1128"/>
      <c r="D67" s="1120"/>
      <c r="E67" s="1120"/>
    </row>
    <row r="68" spans="2:5">
      <c r="B68" s="1118" t="s">
        <v>2301</v>
      </c>
      <c r="C68" s="1128"/>
      <c r="D68" s="1123"/>
      <c r="E68" s="1123"/>
    </row>
    <row r="69" spans="2:5">
      <c r="B69" s="1118"/>
      <c r="C69" s="1128"/>
      <c r="D69" s="1120"/>
      <c r="E69" s="1120"/>
    </row>
  </sheetData>
  <mergeCells count="2">
    <mergeCell ref="A1:E1"/>
    <mergeCell ref="A2:E2"/>
  </mergeCells>
  <conditionalFormatting sqref="B9 B19 B24 B34:B35">
    <cfRule type="cellIs" dxfId="0" priority="1" stopIfTrue="1" operator="equal">
      <formula>"input financial year in cover sheet"</formula>
    </cfRule>
  </conditionalFormatting>
  <pageMargins left="0.70866141732283472" right="0.70866141732283472" top="0.74803149606299213" bottom="0.74803149606299213" header="0.31496062992125984" footer="0.31496062992125984"/>
  <pageSetup paperSize="9" scale="77" orientation="portrait" r:id="rId1"/>
  <headerFooter>
    <oddFooter>&amp;R&amp;P</oddFooter>
  </headerFooter>
</worksheet>
</file>

<file path=xl/worksheets/sheet42.xml><?xml version="1.0" encoding="utf-8"?>
<worksheet xmlns="http://schemas.openxmlformats.org/spreadsheetml/2006/main" xmlns:r="http://schemas.openxmlformats.org/officeDocument/2006/relationships">
  <sheetPr>
    <pageSetUpPr fitToPage="1"/>
  </sheetPr>
  <dimension ref="A1:J70"/>
  <sheetViews>
    <sheetView workbookViewId="0">
      <selection activeCell="I16" sqref="I16"/>
    </sheetView>
  </sheetViews>
  <sheetFormatPr defaultRowHeight="12.75"/>
  <cols>
    <col min="1" max="1" width="6" style="911" customWidth="1"/>
    <col min="2" max="2" width="33" style="313" customWidth="1"/>
    <col min="3" max="3" width="16.28515625" style="334" bestFit="1" customWidth="1"/>
    <col min="4" max="4" width="19.42578125" style="312" bestFit="1" customWidth="1"/>
    <col min="5" max="5" width="8" style="312" customWidth="1"/>
    <col min="6" max="6" width="20.42578125" style="312" bestFit="1" customWidth="1"/>
    <col min="7" max="7" width="14" style="312" customWidth="1"/>
    <col min="8" max="8" width="4.28515625" style="313" customWidth="1"/>
    <col min="9" max="9" width="15" style="312" bestFit="1" customWidth="1"/>
    <col min="10" max="10" width="12.85546875" style="312" bestFit="1" customWidth="1"/>
    <col min="11" max="11" width="14.5703125" style="313" bestFit="1" customWidth="1"/>
    <col min="12" max="16384" width="9.140625" style="313"/>
  </cols>
  <sheetData>
    <row r="1" spans="1:9">
      <c r="A1" s="1662" t="s">
        <v>1349</v>
      </c>
      <c r="B1" s="1663"/>
      <c r="C1" s="1663"/>
      <c r="D1" s="1663"/>
      <c r="E1" s="1663"/>
      <c r="F1" s="1663"/>
      <c r="G1" s="1663"/>
      <c r="H1" s="1664"/>
    </row>
    <row r="2" spans="1:9">
      <c r="A2" s="1709" t="s">
        <v>2075</v>
      </c>
      <c r="B2" s="1695"/>
      <c r="C2" s="1695"/>
      <c r="D2" s="1695"/>
      <c r="E2" s="1695"/>
      <c r="F2" s="1695"/>
      <c r="G2" s="1695"/>
      <c r="H2" s="1818"/>
    </row>
    <row r="3" spans="1:9">
      <c r="A3" s="902"/>
      <c r="B3" s="909"/>
      <c r="C3" s="317"/>
      <c r="D3" s="316"/>
      <c r="E3" s="316"/>
      <c r="F3" s="316"/>
      <c r="G3" s="316"/>
      <c r="H3" s="499"/>
    </row>
    <row r="4" spans="1:9">
      <c r="A4" s="487" t="s">
        <v>36</v>
      </c>
      <c r="B4" s="924"/>
      <c r="C4" s="925"/>
      <c r="D4" s="925"/>
      <c r="E4" s="926" t="s">
        <v>703</v>
      </c>
      <c r="F4" s="905" t="str">
        <f>'Notes 2 - 9'!D5</f>
        <v>2011</v>
      </c>
      <c r="G4" s="905" t="str">
        <f>'Notes 2 - 9'!F5</f>
        <v>2010</v>
      </c>
      <c r="H4" s="927"/>
      <c r="I4" s="928"/>
    </row>
    <row r="5" spans="1:9">
      <c r="A5" s="487"/>
      <c r="B5" s="93"/>
      <c r="C5" s="93"/>
      <c r="D5" s="93"/>
      <c r="E5" s="93"/>
      <c r="F5" s="905" t="str">
        <f>IF([3]Cover!$E$12="Select level of rounding"," ",IF([3]Cover!$E$12 = "R  (i.e. only cents)", "R", "R'000"))</f>
        <v>R</v>
      </c>
      <c r="G5" s="905" t="str">
        <f>IF([3]Cover!$E$12="Select level of rounding"," ",IF([3]Cover!$E$12 = "R  (i.e. only cents)", "R", "R'000"))</f>
        <v>R</v>
      </c>
      <c r="H5" s="507"/>
      <c r="I5" s="508"/>
    </row>
    <row r="6" spans="1:9">
      <c r="A6" s="1092">
        <v>10.1</v>
      </c>
      <c r="B6" s="1093" t="s">
        <v>2264</v>
      </c>
      <c r="C6" s="1020"/>
      <c r="D6" s="1020"/>
      <c r="E6" s="1020"/>
      <c r="F6" s="1020"/>
      <c r="G6" s="1020"/>
      <c r="H6" s="507"/>
      <c r="I6" s="1091"/>
    </row>
    <row r="7" spans="1:9">
      <c r="A7" s="1092"/>
      <c r="B7" s="1020"/>
      <c r="C7" s="1020"/>
      <c r="D7" s="1020"/>
      <c r="E7" s="1020"/>
      <c r="F7" s="1020"/>
      <c r="G7" s="1020"/>
      <c r="H7" s="507"/>
      <c r="I7" s="1091"/>
    </row>
    <row r="8" spans="1:9">
      <c r="A8" s="1092"/>
      <c r="B8" s="1020"/>
      <c r="C8" s="1020"/>
      <c r="D8" s="1020"/>
      <c r="E8" s="1020"/>
      <c r="F8" s="1094"/>
      <c r="G8" s="1094"/>
      <c r="H8" s="507"/>
      <c r="I8" s="1091"/>
    </row>
    <row r="9" spans="1:9">
      <c r="A9" s="1092"/>
      <c r="B9" s="1815" t="s">
        <v>2265</v>
      </c>
      <c r="C9" s="1815"/>
      <c r="D9" s="1815"/>
      <c r="E9" s="1020"/>
      <c r="F9" s="1095"/>
      <c r="G9" s="1095"/>
      <c r="H9" s="507"/>
      <c r="I9" s="1091"/>
    </row>
    <row r="10" spans="1:9">
      <c r="A10" s="1092"/>
      <c r="B10" s="1814" t="s">
        <v>2266</v>
      </c>
      <c r="C10" s="1814"/>
      <c r="D10" s="1814"/>
      <c r="E10" s="1020"/>
      <c r="F10" s="1095"/>
      <c r="G10" s="1095"/>
      <c r="H10" s="507"/>
      <c r="I10" s="508"/>
    </row>
    <row r="11" spans="1:9">
      <c r="A11" s="1092"/>
      <c r="B11" s="1020"/>
      <c r="C11" s="1020"/>
      <c r="D11" s="1020"/>
      <c r="E11" s="1020"/>
      <c r="F11" s="1095"/>
      <c r="G11" s="1095"/>
      <c r="H11" s="507"/>
      <c r="I11" s="508"/>
    </row>
    <row r="12" spans="1:9">
      <c r="A12" s="1092"/>
      <c r="B12" s="1815" t="s">
        <v>2267</v>
      </c>
      <c r="C12" s="1815"/>
      <c r="D12" s="1815"/>
      <c r="E12" s="1020"/>
      <c r="F12" s="1095"/>
      <c r="G12" s="1095"/>
      <c r="H12" s="507"/>
      <c r="I12" s="508"/>
    </row>
    <row r="13" spans="1:9">
      <c r="A13" s="1092"/>
      <c r="B13" s="1814" t="s">
        <v>2266</v>
      </c>
      <c r="C13" s="1814"/>
      <c r="D13" s="1814"/>
      <c r="E13" s="1020"/>
      <c r="F13" s="1095"/>
      <c r="G13" s="1095"/>
      <c r="H13" s="507"/>
      <c r="I13" s="508"/>
    </row>
    <row r="14" spans="1:9">
      <c r="A14" s="1092" t="s">
        <v>36</v>
      </c>
      <c r="B14" s="1020"/>
      <c r="C14" s="1020"/>
      <c r="D14" s="1020"/>
      <c r="E14" s="1020"/>
      <c r="F14" s="1095"/>
      <c r="G14" s="1095"/>
      <c r="H14" s="507"/>
      <c r="I14" s="508"/>
    </row>
    <row r="15" spans="1:9">
      <c r="A15" s="1092"/>
      <c r="B15" s="1020"/>
      <c r="C15" s="1020"/>
      <c r="D15" s="1020"/>
      <c r="E15" s="1020"/>
      <c r="F15" s="1095"/>
      <c r="G15" s="1095"/>
      <c r="H15" s="507"/>
      <c r="I15" s="508"/>
    </row>
    <row r="16" spans="1:9">
      <c r="A16" s="1092">
        <v>10.199999999999999</v>
      </c>
      <c r="B16" s="1093" t="s">
        <v>2268</v>
      </c>
      <c r="C16" s="1020"/>
      <c r="D16" s="1020"/>
      <c r="E16" s="1020"/>
      <c r="F16" s="1096"/>
      <c r="G16" s="1096"/>
      <c r="H16" s="507"/>
      <c r="I16" s="1091" t="s">
        <v>2890</v>
      </c>
    </row>
    <row r="17" spans="1:9">
      <c r="A17" s="1092"/>
      <c r="B17" s="1020"/>
      <c r="C17" s="1020"/>
      <c r="D17" s="1020"/>
      <c r="E17" s="1020"/>
      <c r="F17" s="1096"/>
      <c r="G17" s="1096"/>
      <c r="H17" s="507"/>
      <c r="I17" s="508"/>
    </row>
    <row r="18" spans="1:9">
      <c r="A18" s="1092"/>
      <c r="B18" s="1815" t="s">
        <v>2265</v>
      </c>
      <c r="C18" s="1815"/>
      <c r="D18" s="1815"/>
      <c r="E18" s="1020"/>
      <c r="F18" s="1095"/>
      <c r="G18" s="1095"/>
      <c r="H18" s="507"/>
      <c r="I18" s="508"/>
    </row>
    <row r="19" spans="1:9">
      <c r="A19" s="1092"/>
      <c r="B19" s="1815" t="s">
        <v>2267</v>
      </c>
      <c r="C19" s="1815"/>
      <c r="D19" s="1815"/>
      <c r="E19" s="1020"/>
      <c r="F19" s="1095"/>
      <c r="G19" s="1095"/>
      <c r="H19" s="507"/>
      <c r="I19" s="508"/>
    </row>
    <row r="20" spans="1:9">
      <c r="A20" s="1092"/>
      <c r="B20" s="1815" t="s">
        <v>2269</v>
      </c>
      <c r="C20" s="1815"/>
      <c r="D20" s="1815"/>
      <c r="E20" s="1020"/>
      <c r="F20" s="1095"/>
      <c r="G20" s="1095"/>
      <c r="H20" s="507"/>
      <c r="I20" s="508"/>
    </row>
    <row r="21" spans="1:9" ht="13.5" thickBot="1">
      <c r="A21" s="1092" t="s">
        <v>36</v>
      </c>
      <c r="B21" s="1020"/>
      <c r="C21" s="1020"/>
      <c r="D21" s="1020"/>
      <c r="E21" s="1020"/>
      <c r="F21" s="1097">
        <f>SUM(F18:F20)</f>
        <v>0</v>
      </c>
      <c r="G21" s="1097">
        <f>SUM(G18:G20)</f>
        <v>0</v>
      </c>
      <c r="H21" s="507"/>
      <c r="I21" s="508"/>
    </row>
    <row r="22" spans="1:9" ht="13.5" thickTop="1">
      <c r="A22" s="1092"/>
      <c r="B22" s="1020"/>
      <c r="C22" s="1020"/>
      <c r="D22" s="1020"/>
      <c r="E22" s="1020"/>
      <c r="F22" s="1095"/>
      <c r="G22" s="1095"/>
      <c r="H22" s="507"/>
      <c r="I22" s="508"/>
    </row>
    <row r="23" spans="1:9">
      <c r="A23" s="1092">
        <v>10.3</v>
      </c>
      <c r="B23" s="1093" t="s">
        <v>2270</v>
      </c>
      <c r="C23" s="1020"/>
      <c r="D23" s="1020"/>
      <c r="E23" s="1020"/>
      <c r="F23" s="1096"/>
      <c r="G23" s="1096"/>
      <c r="H23" s="507"/>
      <c r="I23" s="1065" t="s">
        <v>2753</v>
      </c>
    </row>
    <row r="24" spans="1:9">
      <c r="A24" s="1092"/>
      <c r="B24" s="1020"/>
      <c r="C24" s="1020"/>
      <c r="D24" s="1020"/>
      <c r="E24" s="1020"/>
      <c r="F24" s="1096"/>
      <c r="G24" s="1096"/>
      <c r="H24" s="507"/>
      <c r="I24" s="508"/>
    </row>
    <row r="25" spans="1:9">
      <c r="A25" s="1092"/>
      <c r="B25" s="1815" t="s">
        <v>2265</v>
      </c>
      <c r="C25" s="1815"/>
      <c r="D25" s="1815"/>
      <c r="E25" s="1020"/>
      <c r="F25" s="1095"/>
      <c r="G25" s="1095"/>
      <c r="H25" s="507"/>
      <c r="I25" s="508"/>
    </row>
    <row r="26" spans="1:9">
      <c r="A26" s="1092"/>
      <c r="B26" s="1815" t="s">
        <v>2267</v>
      </c>
      <c r="C26" s="1815"/>
      <c r="D26" s="1815"/>
      <c r="E26" s="1020"/>
      <c r="F26" s="1095"/>
      <c r="G26" s="1095"/>
      <c r="H26" s="507"/>
      <c r="I26" s="508"/>
    </row>
    <row r="27" spans="1:9">
      <c r="A27" s="1092"/>
      <c r="B27" s="1815" t="s">
        <v>2269</v>
      </c>
      <c r="C27" s="1815"/>
      <c r="D27" s="1815"/>
      <c r="E27" s="1020"/>
      <c r="F27" s="1095"/>
      <c r="G27" s="1095"/>
      <c r="H27" s="507"/>
      <c r="I27" s="508"/>
    </row>
    <row r="28" spans="1:9" ht="13.5" thickBot="1">
      <c r="A28" s="1092" t="s">
        <v>36</v>
      </c>
      <c r="B28" s="1020"/>
      <c r="C28" s="1020"/>
      <c r="D28" s="1020"/>
      <c r="E28" s="1020"/>
      <c r="F28" s="1097">
        <f>SUM(F25:F27)</f>
        <v>0</v>
      </c>
      <c r="G28" s="1097">
        <f>SUM(G25:G27)</f>
        <v>0</v>
      </c>
      <c r="H28" s="507"/>
      <c r="I28" s="508"/>
    </row>
    <row r="29" spans="1:9" ht="13.5" thickTop="1">
      <c r="A29" s="1092"/>
      <c r="B29" s="1020"/>
      <c r="C29" s="1020"/>
      <c r="D29" s="1020"/>
      <c r="E29" s="1020"/>
      <c r="F29" s="1095"/>
      <c r="G29" s="1095"/>
      <c r="H29" s="507"/>
      <c r="I29" s="508"/>
    </row>
    <row r="30" spans="1:9">
      <c r="A30" s="1092">
        <v>10.4</v>
      </c>
      <c r="B30" s="1093" t="s">
        <v>2271</v>
      </c>
      <c r="C30" s="1098"/>
      <c r="D30" s="1099"/>
      <c r="E30" s="1099"/>
      <c r="F30" s="1099"/>
      <c r="G30" s="1099"/>
      <c r="H30" s="1100"/>
      <c r="I30" s="1065"/>
    </row>
    <row r="31" spans="1:9">
      <c r="A31" s="1092"/>
      <c r="B31" s="1020"/>
      <c r="C31" s="1098"/>
      <c r="D31" s="1099"/>
      <c r="E31" s="1099"/>
      <c r="F31" s="1099"/>
      <c r="G31" s="1099"/>
      <c r="H31" s="1100"/>
      <c r="I31" s="1065"/>
    </row>
    <row r="32" spans="1:9">
      <c r="A32" s="1092"/>
      <c r="B32" s="1816" t="s">
        <v>2272</v>
      </c>
      <c r="C32" s="1816"/>
      <c r="D32" s="1816"/>
      <c r="E32" s="1099"/>
      <c r="F32" s="1099"/>
      <c r="G32" s="1099"/>
      <c r="H32" s="1100"/>
      <c r="I32" s="1065"/>
    </row>
    <row r="33" spans="1:9">
      <c r="A33" s="1092"/>
      <c r="B33" s="1814" t="s">
        <v>2273</v>
      </c>
      <c r="C33" s="1814"/>
      <c r="D33" s="1814"/>
      <c r="E33" s="1099"/>
      <c r="F33" s="1099"/>
      <c r="G33" s="1099"/>
      <c r="H33" s="1100"/>
      <c r="I33" s="1065"/>
    </row>
    <row r="34" spans="1:9">
      <c r="A34" s="1092"/>
      <c r="B34" s="1817" t="s">
        <v>2274</v>
      </c>
      <c r="C34" s="1817"/>
      <c r="D34" s="1817"/>
      <c r="E34" s="1099"/>
      <c r="F34" s="1099"/>
      <c r="G34" s="1099"/>
      <c r="H34" s="1100"/>
      <c r="I34" s="1065"/>
    </row>
    <row r="35" spans="1:9">
      <c r="A35" s="1092"/>
      <c r="B35" s="1814" t="s">
        <v>1588</v>
      </c>
      <c r="C35" s="1814"/>
      <c r="D35" s="1814"/>
      <c r="E35" s="1099"/>
      <c r="F35" s="1099"/>
      <c r="G35" s="1099"/>
      <c r="H35" s="1100"/>
      <c r="I35" s="1065"/>
    </row>
    <row r="36" spans="1:9">
      <c r="A36" s="1092"/>
      <c r="B36" s="1814" t="s">
        <v>364</v>
      </c>
      <c r="C36" s="1814"/>
      <c r="D36" s="1814"/>
      <c r="E36" s="1099"/>
      <c r="F36" s="1099"/>
      <c r="G36" s="1099"/>
      <c r="H36" s="1100"/>
      <c r="I36" s="1065"/>
    </row>
    <row r="37" spans="1:9">
      <c r="A37" s="1092"/>
      <c r="B37" s="1814" t="s">
        <v>364</v>
      </c>
      <c r="C37" s="1814"/>
      <c r="D37" s="1814"/>
      <c r="E37" s="1099"/>
      <c r="F37" s="1099"/>
      <c r="G37" s="1099"/>
      <c r="H37" s="1100"/>
      <c r="I37" s="1065"/>
    </row>
    <row r="38" spans="1:9">
      <c r="A38" s="1092"/>
      <c r="B38" s="1814" t="s">
        <v>2275</v>
      </c>
      <c r="C38" s="1814"/>
      <c r="D38" s="1814"/>
      <c r="E38" s="1099"/>
      <c r="F38" s="1099"/>
      <c r="G38" s="1099"/>
      <c r="H38" s="1100"/>
      <c r="I38" s="1065"/>
    </row>
    <row r="39" spans="1:9">
      <c r="A39" s="1092"/>
      <c r="B39" s="1101"/>
      <c r="C39" s="1101"/>
      <c r="D39" s="1101"/>
      <c r="E39" s="1099"/>
      <c r="F39" s="1094"/>
      <c r="G39" s="1094"/>
      <c r="H39" s="1100"/>
      <c r="I39" s="1065"/>
    </row>
    <row r="40" spans="1:9">
      <c r="A40" s="1092"/>
      <c r="B40" s="1814" t="s">
        <v>2276</v>
      </c>
      <c r="C40" s="1814"/>
      <c r="D40" s="1814"/>
      <c r="E40" s="1099"/>
      <c r="F40" s="1094"/>
      <c r="G40" s="1094"/>
      <c r="H40" s="1100"/>
      <c r="I40" s="1065"/>
    </row>
    <row r="41" spans="1:9">
      <c r="A41" s="1092"/>
      <c r="B41" s="1020"/>
      <c r="C41" s="1098"/>
      <c r="D41" s="1099"/>
      <c r="E41" s="1099"/>
      <c r="F41" s="1099"/>
      <c r="G41" s="1099"/>
      <c r="H41" s="1100"/>
      <c r="I41" s="1065"/>
    </row>
    <row r="42" spans="1:9">
      <c r="A42" s="1092"/>
      <c r="B42" s="1815" t="s">
        <v>2265</v>
      </c>
      <c r="C42" s="1815"/>
      <c r="D42" s="1815"/>
      <c r="E42" s="1020"/>
      <c r="F42" s="1095"/>
      <c r="G42" s="1095"/>
      <c r="H42" s="1100"/>
      <c r="I42" s="1065"/>
    </row>
    <row r="43" spans="1:9">
      <c r="A43" s="1092"/>
      <c r="B43" s="1815" t="s">
        <v>2267</v>
      </c>
      <c r="C43" s="1815"/>
      <c r="D43" s="1815"/>
      <c r="E43" s="1020"/>
      <c r="F43" s="1095"/>
      <c r="G43" s="1095"/>
      <c r="H43" s="1100"/>
      <c r="I43" s="1065"/>
    </row>
    <row r="44" spans="1:9">
      <c r="A44" s="1092"/>
      <c r="B44" s="1815" t="s">
        <v>2269</v>
      </c>
      <c r="C44" s="1815"/>
      <c r="D44" s="1815"/>
      <c r="E44" s="1020"/>
      <c r="F44" s="1095"/>
      <c r="G44" s="1095"/>
      <c r="H44" s="1100"/>
      <c r="I44" s="1065"/>
    </row>
    <row r="45" spans="1:9" ht="13.5" thickBot="1">
      <c r="A45" s="1092" t="s">
        <v>36</v>
      </c>
      <c r="B45" s="1020"/>
      <c r="C45" s="1020"/>
      <c r="D45" s="1020"/>
      <c r="E45" s="1020"/>
      <c r="F45" s="1097">
        <f>SUM(F42:F44)</f>
        <v>0</v>
      </c>
      <c r="G45" s="1097">
        <f>SUM(G42:G44)</f>
        <v>0</v>
      </c>
      <c r="H45" s="1100"/>
      <c r="I45" s="1065"/>
    </row>
    <row r="46" spans="1:9" ht="13.5" thickTop="1">
      <c r="A46" s="1092"/>
      <c r="B46" s="1020"/>
      <c r="C46" s="1020"/>
      <c r="D46" s="1020"/>
      <c r="E46" s="1020"/>
      <c r="F46" s="1095"/>
      <c r="G46" s="1095"/>
      <c r="H46" s="1100"/>
      <c r="I46" s="508"/>
    </row>
    <row r="47" spans="1:9">
      <c r="A47" s="1092">
        <v>10.5</v>
      </c>
      <c r="B47" s="1093" t="s">
        <v>2277</v>
      </c>
      <c r="C47" s="1020"/>
      <c r="D47" s="1020"/>
      <c r="E47" s="1020"/>
      <c r="F47" s="1096"/>
      <c r="G47" s="1096"/>
      <c r="H47" s="1100"/>
      <c r="I47" s="508"/>
    </row>
    <row r="48" spans="1:9">
      <c r="A48" s="1092"/>
      <c r="B48" s="1020"/>
      <c r="C48" s="1020"/>
      <c r="D48" s="1020"/>
      <c r="E48" s="1020"/>
      <c r="F48" s="1096"/>
      <c r="G48" s="1096"/>
      <c r="H48" s="1100"/>
      <c r="I48" s="508"/>
    </row>
    <row r="49" spans="1:9">
      <c r="A49" s="1092"/>
      <c r="B49" s="1814" t="s">
        <v>2278</v>
      </c>
      <c r="C49" s="1814"/>
      <c r="D49" s="1814"/>
      <c r="E49" s="1020"/>
      <c r="F49" s="1095"/>
      <c r="G49" s="1095"/>
      <c r="H49" s="1100"/>
      <c r="I49" s="508"/>
    </row>
    <row r="50" spans="1:9">
      <c r="A50" s="1092"/>
      <c r="B50" s="1814" t="s">
        <v>2279</v>
      </c>
      <c r="C50" s="1814"/>
      <c r="D50" s="1814"/>
      <c r="E50" s="1020"/>
      <c r="F50" s="1095"/>
      <c r="G50" s="1095"/>
      <c r="H50" s="1100"/>
      <c r="I50" s="508"/>
    </row>
    <row r="51" spans="1:9">
      <c r="A51" s="1092"/>
      <c r="B51" s="1814" t="s">
        <v>2280</v>
      </c>
      <c r="C51" s="1814"/>
      <c r="D51" s="1814"/>
      <c r="E51" s="1020"/>
      <c r="F51" s="1095"/>
      <c r="G51" s="1095"/>
      <c r="H51" s="1100"/>
      <c r="I51" s="508"/>
    </row>
    <row r="52" spans="1:9">
      <c r="A52" s="1092"/>
      <c r="B52" s="1814" t="s">
        <v>2281</v>
      </c>
      <c r="C52" s="1814"/>
      <c r="D52" s="1814"/>
      <c r="E52" s="1020"/>
      <c r="F52" s="1095"/>
      <c r="G52" s="1095"/>
      <c r="H52" s="1100"/>
      <c r="I52" s="508"/>
    </row>
    <row r="53" spans="1:9" ht="13.5" thickBot="1">
      <c r="A53" s="1092"/>
      <c r="B53" s="1020"/>
      <c r="C53" s="1020"/>
      <c r="D53" s="1020"/>
      <c r="E53" s="1020"/>
      <c r="F53" s="1097">
        <f>SUM(F49:F51)</f>
        <v>0</v>
      </c>
      <c r="G53" s="1097">
        <f>SUM(G49:G51)</f>
        <v>0</v>
      </c>
      <c r="H53" s="1100"/>
      <c r="I53" s="508"/>
    </row>
    <row r="54" spans="1:9" ht="13.5" thickTop="1">
      <c r="A54" s="1102"/>
      <c r="B54" s="1020"/>
      <c r="C54" s="1020"/>
      <c r="D54" s="1020"/>
      <c r="E54" s="1020"/>
      <c r="F54" s="1103"/>
      <c r="G54" s="1103"/>
      <c r="H54" s="1100"/>
      <c r="I54" s="508"/>
    </row>
    <row r="55" spans="1:9">
      <c r="A55" s="1102"/>
      <c r="B55" s="1093" t="s">
        <v>2282</v>
      </c>
      <c r="C55" s="1098"/>
      <c r="D55" s="1095"/>
      <c r="E55" s="1095"/>
      <c r="F55" s="1099"/>
      <c r="G55" s="1099"/>
      <c r="H55" s="1100"/>
      <c r="I55" s="508"/>
    </row>
    <row r="56" spans="1:9">
      <c r="A56" s="1102"/>
      <c r="B56" s="1020"/>
      <c r="C56" s="1098"/>
      <c r="D56" s="1095"/>
      <c r="E56" s="1095"/>
      <c r="F56" s="1094"/>
      <c r="G56" s="1094"/>
      <c r="H56" s="1100"/>
      <c r="I56" s="508"/>
    </row>
    <row r="57" spans="1:9">
      <c r="A57" s="1102"/>
      <c r="B57" s="1813" t="s">
        <v>2283</v>
      </c>
      <c r="C57" s="1813"/>
      <c r="D57" s="1813"/>
      <c r="E57" s="1095"/>
      <c r="F57" s="1094"/>
      <c r="G57" s="1094"/>
      <c r="H57" s="1100"/>
      <c r="I57" s="508"/>
    </row>
    <row r="58" spans="1:9">
      <c r="A58" s="1102"/>
      <c r="B58" s="1814" t="s">
        <v>2266</v>
      </c>
      <c r="C58" s="1814"/>
      <c r="D58" s="1814"/>
      <c r="E58" s="1095"/>
      <c r="F58" s="1099"/>
      <c r="G58" s="1099"/>
      <c r="H58" s="1100"/>
      <c r="I58" s="508"/>
    </row>
    <row r="59" spans="1:9">
      <c r="A59" s="1102"/>
      <c r="B59" s="1020" t="s">
        <v>2284</v>
      </c>
      <c r="C59" s="1098"/>
      <c r="D59" s="1020"/>
      <c r="E59" s="1020"/>
      <c r="F59" s="1095"/>
      <c r="G59" s="1095"/>
      <c r="H59" s="1100"/>
      <c r="I59" s="508"/>
    </row>
    <row r="60" spans="1:9">
      <c r="A60" s="1102"/>
      <c r="B60" s="1020" t="s">
        <v>2285</v>
      </c>
      <c r="C60" s="1098"/>
      <c r="D60" s="1020"/>
      <c r="E60" s="1020"/>
      <c r="F60" s="1095"/>
      <c r="G60" s="1095"/>
      <c r="H60" s="1100"/>
      <c r="I60" s="508"/>
    </row>
    <row r="61" spans="1:9">
      <c r="A61" s="1102"/>
      <c r="B61" s="1020" t="s">
        <v>2268</v>
      </c>
      <c r="C61" s="1098"/>
      <c r="D61" s="1020"/>
      <c r="E61" s="1020"/>
      <c r="F61" s="1095"/>
      <c r="G61" s="1095"/>
      <c r="H61" s="1100"/>
      <c r="I61" s="508"/>
    </row>
    <row r="62" spans="1:9" ht="13.5" thickBot="1">
      <c r="A62" s="1102"/>
      <c r="B62" s="1020"/>
      <c r="C62" s="1098"/>
      <c r="D62" s="1020"/>
      <c r="E62" s="1020"/>
      <c r="F62" s="1097">
        <f>SUM(F59:F61)</f>
        <v>0</v>
      </c>
      <c r="G62" s="1097">
        <f>SUM(G59:G61)</f>
        <v>0</v>
      </c>
      <c r="H62" s="1100"/>
      <c r="I62" s="508"/>
    </row>
    <row r="63" spans="1:9" ht="13.5" thickTop="1">
      <c r="A63" s="1102"/>
      <c r="B63" s="1020"/>
      <c r="C63" s="1098"/>
      <c r="D63" s="1020"/>
      <c r="E63" s="1020"/>
      <c r="F63" s="1095"/>
      <c r="G63" s="1095"/>
      <c r="H63" s="1100"/>
      <c r="I63" s="508"/>
    </row>
    <row r="64" spans="1:9">
      <c r="A64" s="1102"/>
      <c r="B64" s="1813" t="s">
        <v>2286</v>
      </c>
      <c r="C64" s="1813"/>
      <c r="D64" s="1813"/>
      <c r="E64" s="1020"/>
      <c r="F64" s="1095"/>
      <c r="G64" s="1095"/>
      <c r="H64" s="1100"/>
      <c r="I64" s="508"/>
    </row>
    <row r="65" spans="1:9">
      <c r="A65" s="1102"/>
      <c r="B65" s="1814" t="s">
        <v>2266</v>
      </c>
      <c r="C65" s="1814"/>
      <c r="D65" s="1814"/>
      <c r="E65" s="1020"/>
      <c r="F65" s="1095"/>
      <c r="G65" s="1095"/>
      <c r="H65" s="1100"/>
      <c r="I65" s="508"/>
    </row>
    <row r="66" spans="1:9">
      <c r="A66" s="1102"/>
      <c r="B66" s="1020" t="s">
        <v>2284</v>
      </c>
      <c r="C66" s="1098"/>
      <c r="D66" s="1020"/>
      <c r="E66" s="1020"/>
      <c r="F66" s="1095"/>
      <c r="G66" s="1095"/>
      <c r="H66" s="1100"/>
      <c r="I66" s="508"/>
    </row>
    <row r="67" spans="1:9">
      <c r="A67" s="1102"/>
      <c r="B67" s="1020" t="s">
        <v>2285</v>
      </c>
      <c r="C67" s="1098"/>
      <c r="D67" s="1020"/>
      <c r="E67" s="1020"/>
      <c r="F67" s="1095"/>
      <c r="G67" s="1095"/>
      <c r="H67" s="1100"/>
      <c r="I67" s="508"/>
    </row>
    <row r="68" spans="1:9">
      <c r="A68" s="1102"/>
      <c r="B68" s="1020" t="s">
        <v>2268</v>
      </c>
      <c r="C68" s="1098"/>
      <c r="D68" s="1020"/>
      <c r="E68" s="1020"/>
      <c r="F68" s="1095"/>
      <c r="G68" s="1095"/>
      <c r="H68" s="1100"/>
      <c r="I68" s="508"/>
    </row>
    <row r="69" spans="1:9" ht="13.5" thickBot="1">
      <c r="A69" s="1102"/>
      <c r="B69" s="1020"/>
      <c r="C69" s="1098"/>
      <c r="D69" s="1020"/>
      <c r="E69" s="1020"/>
      <c r="F69" s="1097">
        <f>SUM(F66:F68)</f>
        <v>0</v>
      </c>
      <c r="G69" s="1097">
        <f>SUM(G66:G68)</f>
        <v>0</v>
      </c>
      <c r="H69" s="1100"/>
      <c r="I69" s="508"/>
    </row>
    <row r="70" spans="1:9" ht="14.25" thickTop="1" thickBot="1">
      <c r="A70" s="284"/>
      <c r="B70" s="930"/>
      <c r="C70" s="931"/>
      <c r="D70" s="932"/>
      <c r="E70" s="932"/>
      <c r="F70" s="932"/>
      <c r="G70" s="933"/>
      <c r="H70" s="934"/>
      <c r="I70" s="508"/>
    </row>
  </sheetData>
  <mergeCells count="31">
    <mergeCell ref="B26:D26"/>
    <mergeCell ref="A1:H1"/>
    <mergeCell ref="A2:H2"/>
    <mergeCell ref="B9:D9"/>
    <mergeCell ref="B10:D10"/>
    <mergeCell ref="B12:D12"/>
    <mergeCell ref="B13:D13"/>
    <mergeCell ref="B18:D18"/>
    <mergeCell ref="B19:D19"/>
    <mergeCell ref="B20:D20"/>
    <mergeCell ref="B25:D25"/>
    <mergeCell ref="B44:D44"/>
    <mergeCell ref="B27:D27"/>
    <mergeCell ref="B32:D32"/>
    <mergeCell ref="B33:D33"/>
    <mergeCell ref="B34:D34"/>
    <mergeCell ref="B35:D35"/>
    <mergeCell ref="B36:D36"/>
    <mergeCell ref="B37:D37"/>
    <mergeCell ref="B38:D38"/>
    <mergeCell ref="B40:D40"/>
    <mergeCell ref="B42:D42"/>
    <mergeCell ref="B43:D43"/>
    <mergeCell ref="B64:D64"/>
    <mergeCell ref="B65:D65"/>
    <mergeCell ref="B49:D49"/>
    <mergeCell ref="B50:D50"/>
    <mergeCell ref="B51:D51"/>
    <mergeCell ref="B52:D52"/>
    <mergeCell ref="B57:D57"/>
    <mergeCell ref="B58:D58"/>
  </mergeCells>
  <pageMargins left="0.70866141732283472" right="0.51181102362204722" top="0.74803149606299213" bottom="0.74803149606299213" header="0.31496062992125984" footer="0.31496062992125984"/>
  <pageSetup paperSize="9" scale="73" orientation="portrait" r:id="rId1"/>
  <headerFooter>
    <oddFooter>&amp;R&amp;P</oddFooter>
  </headerFooter>
</worksheet>
</file>

<file path=xl/worksheets/sheet43.xml><?xml version="1.0" encoding="utf-8"?>
<worksheet xmlns="http://schemas.openxmlformats.org/spreadsheetml/2006/main" xmlns:r="http://schemas.openxmlformats.org/officeDocument/2006/relationships">
  <dimension ref="A1:J88"/>
  <sheetViews>
    <sheetView view="pageBreakPreview" zoomScaleSheetLayoutView="100" workbookViewId="0">
      <selection activeCell="B94" sqref="B94"/>
    </sheetView>
  </sheetViews>
  <sheetFormatPr defaultRowHeight="12.75"/>
  <cols>
    <col min="1" max="1" width="3.5703125" style="688" bestFit="1" customWidth="1"/>
    <col min="2" max="2" width="5.7109375" style="716" bestFit="1" customWidth="1"/>
    <col min="3" max="3" width="50.85546875" style="717" customWidth="1"/>
    <col min="4" max="4" width="2" style="717" customWidth="1"/>
    <col min="5" max="5" width="16.42578125" style="717" customWidth="1"/>
    <col min="6" max="6" width="2" style="717" customWidth="1"/>
    <col min="7" max="7" width="16.28515625" style="717" customWidth="1"/>
    <col min="8" max="8" width="2.140625" style="691" customWidth="1"/>
    <col min="9" max="9" width="9" style="691" customWidth="1"/>
    <col min="10" max="10" width="8.140625" style="691" customWidth="1"/>
    <col min="11" max="16384" width="9.140625" style="688"/>
  </cols>
  <sheetData>
    <row r="1" spans="1:10" ht="15.75" customHeight="1" thickTop="1">
      <c r="A1" s="1819" t="s">
        <v>1349</v>
      </c>
      <c r="B1" s="1820"/>
      <c r="C1" s="1820"/>
      <c r="D1" s="1820"/>
      <c r="E1" s="1820"/>
      <c r="F1" s="1820"/>
      <c r="G1" s="1820"/>
      <c r="H1" s="1820"/>
      <c r="I1" s="292"/>
      <c r="J1" s="292"/>
    </row>
    <row r="2" spans="1:10">
      <c r="A2" s="1821" t="s">
        <v>2075</v>
      </c>
      <c r="B2" s="1822"/>
      <c r="C2" s="1822"/>
      <c r="D2" s="1822"/>
      <c r="E2" s="1822"/>
      <c r="F2" s="1822"/>
      <c r="G2" s="1822"/>
      <c r="H2" s="1822"/>
      <c r="I2" s="302"/>
      <c r="J2" s="302"/>
    </row>
    <row r="3" spans="1:10">
      <c r="A3" s="301"/>
      <c r="B3" s="302"/>
      <c r="C3" s="302"/>
      <c r="D3" s="302"/>
      <c r="E3" s="302"/>
      <c r="F3" s="302"/>
      <c r="G3" s="302"/>
      <c r="H3" s="302"/>
      <c r="I3" s="302"/>
      <c r="J3" s="302"/>
    </row>
    <row r="4" spans="1:10" ht="12.75" hidden="1" customHeight="1">
      <c r="A4" s="1038">
        <v>46</v>
      </c>
      <c r="B4" s="1039" t="s">
        <v>1224</v>
      </c>
      <c r="C4" s="1040"/>
      <c r="D4" s="1041"/>
      <c r="E4" s="1042" t="s">
        <v>2077</v>
      </c>
      <c r="F4" s="1041"/>
      <c r="G4" s="1042" t="s">
        <v>1796</v>
      </c>
      <c r="H4" s="689"/>
      <c r="I4" s="689"/>
      <c r="J4" s="689"/>
    </row>
    <row r="5" spans="1:10" hidden="1">
      <c r="A5" s="1043"/>
      <c r="B5" s="1044"/>
      <c r="C5" s="1044"/>
      <c r="D5" s="1041"/>
      <c r="E5" s="1041"/>
      <c r="F5" s="1041"/>
      <c r="G5" s="1045"/>
      <c r="H5" s="689"/>
      <c r="I5" s="689"/>
      <c r="J5" s="689"/>
    </row>
    <row r="6" spans="1:10" hidden="1">
      <c r="A6" s="1043"/>
      <c r="B6" s="1823" t="s">
        <v>1225</v>
      </c>
      <c r="C6" s="1823"/>
      <c r="D6" s="1041"/>
      <c r="E6" s="1046">
        <f>'Note 10b'!H13</f>
        <v>35706000</v>
      </c>
      <c r="F6" s="1041"/>
      <c r="G6" s="1046">
        <f>'Note 10b'!D13</f>
        <v>35706000</v>
      </c>
      <c r="H6" s="689"/>
      <c r="I6" s="689"/>
      <c r="J6" s="689"/>
    </row>
    <row r="7" spans="1:10" hidden="1">
      <c r="A7" s="1043"/>
      <c r="B7" s="1823" t="s">
        <v>1226</v>
      </c>
      <c r="C7" s="1823"/>
      <c r="D7" s="1041"/>
      <c r="E7" s="1047"/>
      <c r="F7" s="1041"/>
      <c r="G7" s="1048">
        <v>0</v>
      </c>
      <c r="H7" s="689"/>
      <c r="I7" s="689"/>
      <c r="J7" s="689"/>
    </row>
    <row r="8" spans="1:10" hidden="1">
      <c r="A8" s="1043"/>
      <c r="B8" s="1823" t="s">
        <v>1227</v>
      </c>
      <c r="C8" s="1823"/>
      <c r="D8" s="1041"/>
      <c r="E8" s="1049"/>
      <c r="F8" s="1041"/>
      <c r="G8" s="1050">
        <v>0</v>
      </c>
      <c r="H8" s="689"/>
      <c r="I8" s="689"/>
      <c r="J8" s="689"/>
    </row>
    <row r="9" spans="1:10" hidden="1">
      <c r="A9" s="1043"/>
      <c r="B9" s="1051"/>
      <c r="C9" s="1051"/>
      <c r="D9" s="1041"/>
      <c r="E9" s="1041"/>
      <c r="F9" s="1041"/>
      <c r="G9" s="1052"/>
      <c r="H9" s="689"/>
      <c r="I9" s="689"/>
      <c r="J9" s="689"/>
    </row>
    <row r="10" spans="1:10" ht="13.5" hidden="1" thickBot="1">
      <c r="A10" s="1043"/>
      <c r="B10" s="1824" t="s">
        <v>1108</v>
      </c>
      <c r="C10" s="1824"/>
      <c r="D10" s="1041"/>
      <c r="E10" s="1053">
        <f>SUM(E6:E8)</f>
        <v>35706000</v>
      </c>
      <c r="F10" s="1041"/>
      <c r="G10" s="1053">
        <f>SUM(G6:G8)</f>
        <v>35706000</v>
      </c>
      <c r="H10" s="689"/>
      <c r="I10" s="689"/>
      <c r="J10" s="689"/>
    </row>
    <row r="11" spans="1:10" ht="13.5" hidden="1" thickTop="1">
      <c r="A11" s="1043"/>
      <c r="B11" s="1054"/>
      <c r="C11" s="1054"/>
      <c r="D11" s="1054"/>
      <c r="E11" s="1054"/>
      <c r="F11" s="1054"/>
      <c r="G11" s="1054"/>
      <c r="H11" s="680"/>
      <c r="I11" s="680"/>
      <c r="J11" s="680"/>
    </row>
    <row r="12" spans="1:10" hidden="1">
      <c r="A12" s="1055"/>
      <c r="B12" s="1823" t="s">
        <v>2045</v>
      </c>
      <c r="C12" s="1823"/>
      <c r="D12" s="1051"/>
      <c r="E12" s="1051"/>
      <c r="F12" s="1051"/>
      <c r="G12" s="1051"/>
      <c r="H12" s="95"/>
      <c r="I12" s="95"/>
      <c r="J12" s="95"/>
    </row>
    <row r="13" spans="1:10" hidden="1">
      <c r="A13" s="1056"/>
      <c r="B13" s="1057"/>
      <c r="C13" s="1057"/>
      <c r="D13" s="1057"/>
      <c r="E13" s="1057"/>
      <c r="F13" s="1057"/>
      <c r="G13" s="1057"/>
      <c r="H13" s="302"/>
      <c r="I13" s="302"/>
      <c r="J13" s="302"/>
    </row>
    <row r="14" spans="1:10" hidden="1">
      <c r="A14" s="1058"/>
      <c r="B14" s="1059"/>
      <c r="C14" s="1060"/>
      <c r="D14" s="1060"/>
      <c r="E14" s="1060"/>
      <c r="F14" s="1060"/>
      <c r="G14" s="1060"/>
    </row>
    <row r="15" spans="1:10" ht="25.5">
      <c r="A15" s="258">
        <v>43</v>
      </c>
      <c r="B15" s="2"/>
      <c r="C15" s="3" t="s">
        <v>278</v>
      </c>
      <c r="D15" s="691"/>
      <c r="E15" s="99" t="s">
        <v>2077</v>
      </c>
      <c r="F15" s="691"/>
      <c r="G15" s="99" t="s">
        <v>1796</v>
      </c>
      <c r="H15" s="100"/>
      <c r="I15" s="100"/>
      <c r="J15" s="100"/>
    </row>
    <row r="16" spans="1:10">
      <c r="A16" s="258"/>
      <c r="B16" s="2"/>
      <c r="C16" s="3"/>
      <c r="D16" s="3"/>
      <c r="E16" s="3"/>
      <c r="F16" s="3"/>
      <c r="G16" s="3"/>
      <c r="H16" s="3"/>
      <c r="I16" s="3"/>
      <c r="J16" s="3"/>
    </row>
    <row r="17" spans="1:10" ht="51">
      <c r="A17" s="692"/>
      <c r="B17" s="2"/>
      <c r="C17" s="691" t="s">
        <v>279</v>
      </c>
      <c r="D17" s="691"/>
      <c r="E17" s="691"/>
      <c r="F17" s="691"/>
      <c r="G17" s="691"/>
    </row>
    <row r="18" spans="1:10">
      <c r="A18" s="692"/>
      <c r="B18" s="2"/>
      <c r="C18" s="691"/>
      <c r="D18" s="691"/>
      <c r="E18" s="691"/>
      <c r="F18" s="691"/>
      <c r="G18" s="691"/>
    </row>
    <row r="19" spans="1:10">
      <c r="A19" s="692"/>
      <c r="B19" s="2">
        <v>43.1</v>
      </c>
      <c r="C19" s="3" t="s">
        <v>280</v>
      </c>
      <c r="D19" s="3"/>
      <c r="E19" s="3"/>
      <c r="F19" s="3"/>
      <c r="G19" s="3"/>
      <c r="H19" s="3"/>
      <c r="I19" s="3"/>
      <c r="J19" s="3"/>
    </row>
    <row r="20" spans="1:10">
      <c r="A20" s="692"/>
      <c r="B20" s="2"/>
      <c r="C20" s="3" t="s">
        <v>281</v>
      </c>
      <c r="D20" s="3"/>
      <c r="E20" s="3"/>
      <c r="F20" s="3"/>
      <c r="G20" s="3"/>
      <c r="H20" s="3"/>
      <c r="I20" s="3"/>
      <c r="J20" s="3"/>
    </row>
    <row r="21" spans="1:10">
      <c r="A21" s="692"/>
      <c r="B21" s="2"/>
      <c r="C21" s="693" t="s">
        <v>290</v>
      </c>
      <c r="D21" s="693"/>
      <c r="E21" s="694"/>
      <c r="F21" s="693"/>
      <c r="G21" s="695">
        <v>0</v>
      </c>
      <c r="H21" s="696"/>
      <c r="I21" s="696"/>
      <c r="J21" s="696"/>
    </row>
    <row r="22" spans="1:10">
      <c r="A22" s="692"/>
      <c r="B22" s="2"/>
      <c r="C22" s="693" t="s">
        <v>291</v>
      </c>
      <c r="D22" s="693"/>
      <c r="E22" s="697"/>
      <c r="F22" s="693"/>
      <c r="G22" s="698">
        <v>0</v>
      </c>
      <c r="H22" s="696"/>
      <c r="I22" s="696"/>
      <c r="J22" s="696"/>
    </row>
    <row r="23" spans="1:10">
      <c r="A23" s="692"/>
      <c r="B23" s="2"/>
      <c r="C23" s="693" t="s">
        <v>293</v>
      </c>
      <c r="D23" s="693"/>
      <c r="E23" s="697"/>
      <c r="F23" s="693"/>
      <c r="G23" s="698">
        <v>0</v>
      </c>
      <c r="H23" s="696"/>
      <c r="I23" s="696"/>
      <c r="J23" s="696"/>
    </row>
    <row r="24" spans="1:10">
      <c r="A24" s="692"/>
      <c r="B24" s="2"/>
      <c r="C24" s="693" t="s">
        <v>292</v>
      </c>
      <c r="D24" s="693"/>
      <c r="E24" s="699"/>
      <c r="F24" s="693"/>
      <c r="G24" s="700">
        <v>0</v>
      </c>
      <c r="H24" s="696"/>
      <c r="I24" s="696"/>
      <c r="J24" s="696"/>
    </row>
    <row r="25" spans="1:10">
      <c r="A25" s="692"/>
      <c r="B25" s="2"/>
      <c r="C25" s="693"/>
      <c r="D25" s="693"/>
      <c r="E25" s="693"/>
      <c r="F25" s="693"/>
      <c r="G25" s="701"/>
      <c r="H25" s="696"/>
      <c r="I25" s="696"/>
      <c r="J25" s="696"/>
    </row>
    <row r="26" spans="1:10" ht="13.5" thickBot="1">
      <c r="A26" s="692"/>
      <c r="B26" s="2"/>
      <c r="C26" s="3" t="s">
        <v>1108</v>
      </c>
      <c r="D26" s="3"/>
      <c r="E26" s="289"/>
      <c r="F26" s="3"/>
      <c r="G26" s="288">
        <f>SUM(G21:G24)</f>
        <v>0</v>
      </c>
      <c r="H26" s="1"/>
      <c r="I26" s="1"/>
      <c r="J26" s="1"/>
    </row>
    <row r="27" spans="1:10" ht="13.5" thickTop="1">
      <c r="A27" s="692"/>
      <c r="B27" s="2"/>
      <c r="C27" s="3"/>
      <c r="D27" s="3"/>
      <c r="E27" s="3"/>
      <c r="F27" s="3"/>
      <c r="G27" s="5"/>
      <c r="H27" s="1"/>
      <c r="I27" s="1"/>
      <c r="J27" s="1"/>
    </row>
    <row r="28" spans="1:10">
      <c r="A28" s="692"/>
      <c r="B28" s="2"/>
      <c r="C28" s="3" t="s">
        <v>282</v>
      </c>
      <c r="D28" s="3"/>
      <c r="E28" s="3"/>
      <c r="F28" s="3"/>
      <c r="G28" s="6"/>
      <c r="H28" s="1"/>
      <c r="I28" s="1"/>
      <c r="J28" s="1"/>
    </row>
    <row r="29" spans="1:10">
      <c r="A29" s="692"/>
      <c r="B29" s="2"/>
      <c r="C29" s="693" t="s">
        <v>294</v>
      </c>
      <c r="D29" s="693"/>
      <c r="E29" s="694"/>
      <c r="F29" s="693"/>
      <c r="G29" s="695">
        <v>0</v>
      </c>
      <c r="H29" s="696"/>
      <c r="I29" s="696"/>
      <c r="J29" s="696"/>
    </row>
    <row r="30" spans="1:10">
      <c r="A30" s="692"/>
      <c r="B30" s="2"/>
      <c r="C30" s="693" t="s">
        <v>295</v>
      </c>
      <c r="D30" s="693"/>
      <c r="E30" s="697"/>
      <c r="F30" s="693"/>
      <c r="G30" s="698">
        <v>0</v>
      </c>
      <c r="H30" s="696"/>
      <c r="I30" s="696"/>
      <c r="J30" s="696"/>
    </row>
    <row r="31" spans="1:10">
      <c r="A31" s="692"/>
      <c r="B31" s="2"/>
      <c r="C31" s="693" t="s">
        <v>1386</v>
      </c>
      <c r="D31" s="693"/>
      <c r="E31" s="697"/>
      <c r="F31" s="693"/>
      <c r="G31" s="698">
        <v>0</v>
      </c>
      <c r="H31" s="696"/>
      <c r="I31" s="696"/>
      <c r="J31" s="696"/>
    </row>
    <row r="32" spans="1:10">
      <c r="A32" s="692"/>
      <c r="B32" s="2"/>
      <c r="C32" s="693" t="s">
        <v>666</v>
      </c>
      <c r="D32" s="693"/>
      <c r="E32" s="697"/>
      <c r="F32" s="693"/>
      <c r="G32" s="698">
        <v>0</v>
      </c>
      <c r="H32" s="696"/>
      <c r="I32" s="696"/>
      <c r="J32" s="696"/>
    </row>
    <row r="33" spans="1:10">
      <c r="A33" s="692"/>
      <c r="B33" s="2"/>
      <c r="C33" s="693" t="s">
        <v>667</v>
      </c>
      <c r="D33" s="693"/>
      <c r="E33" s="697"/>
      <c r="F33" s="693"/>
      <c r="G33" s="698">
        <v>0</v>
      </c>
      <c r="H33" s="696"/>
      <c r="I33" s="696"/>
      <c r="J33" s="696"/>
    </row>
    <row r="34" spans="1:10">
      <c r="A34" s="692"/>
      <c r="B34" s="2"/>
      <c r="C34" s="693" t="s">
        <v>296</v>
      </c>
      <c r="D34" s="693"/>
      <c r="E34" s="697"/>
      <c r="F34" s="693"/>
      <c r="G34" s="690">
        <v>0</v>
      </c>
      <c r="H34" s="696"/>
      <c r="I34" s="696"/>
      <c r="J34" s="696"/>
    </row>
    <row r="35" spans="1:10">
      <c r="A35" s="692"/>
      <c r="B35" s="2"/>
      <c r="C35" s="693" t="s">
        <v>297</v>
      </c>
      <c r="D35" s="693"/>
      <c r="E35" s="697"/>
      <c r="F35" s="693"/>
      <c r="G35" s="698">
        <v>0</v>
      </c>
      <c r="H35" s="696"/>
      <c r="I35" s="696"/>
      <c r="J35" s="696"/>
    </row>
    <row r="36" spans="1:10">
      <c r="A36" s="692"/>
      <c r="B36" s="2"/>
      <c r="C36" s="693" t="s">
        <v>1193</v>
      </c>
      <c r="D36" s="693"/>
      <c r="E36" s="699"/>
      <c r="F36" s="693"/>
      <c r="G36" s="690">
        <v>0</v>
      </c>
      <c r="H36" s="696"/>
      <c r="I36" s="696"/>
      <c r="J36" s="696"/>
    </row>
    <row r="37" spans="1:10">
      <c r="A37" s="692"/>
      <c r="B37" s="2"/>
      <c r="C37" s="691"/>
      <c r="D37" s="691"/>
      <c r="E37" s="691"/>
      <c r="F37" s="691"/>
      <c r="G37" s="7">
        <f>SUM(G29:G36)</f>
        <v>0</v>
      </c>
      <c r="H37" s="1"/>
      <c r="I37" s="1"/>
      <c r="J37" s="1"/>
    </row>
    <row r="38" spans="1:10">
      <c r="A38" s="692"/>
      <c r="B38" s="2">
        <v>43.2</v>
      </c>
      <c r="C38" s="3" t="s">
        <v>283</v>
      </c>
      <c r="D38" s="3"/>
      <c r="E38" s="3"/>
      <c r="F38" s="3"/>
      <c r="G38" s="4"/>
      <c r="H38" s="1"/>
      <c r="I38" s="1"/>
      <c r="J38" s="1"/>
    </row>
    <row r="39" spans="1:10">
      <c r="A39" s="692"/>
      <c r="B39" s="2"/>
      <c r="C39" s="3" t="s">
        <v>281</v>
      </c>
      <c r="D39" s="3"/>
      <c r="E39" s="3"/>
      <c r="F39" s="3"/>
      <c r="G39" s="5"/>
      <c r="H39" s="1"/>
      <c r="I39" s="1"/>
      <c r="J39" s="1"/>
    </row>
    <row r="40" spans="1:10">
      <c r="A40" s="692"/>
      <c r="B40" s="2"/>
      <c r="C40" s="693" t="s">
        <v>1115</v>
      </c>
      <c r="D40" s="693"/>
      <c r="E40" s="694"/>
      <c r="F40" s="693"/>
      <c r="G40" s="695">
        <v>0</v>
      </c>
      <c r="H40" s="696"/>
      <c r="I40" s="696"/>
      <c r="J40" s="696"/>
    </row>
    <row r="41" spans="1:10">
      <c r="A41" s="692"/>
      <c r="B41" s="2"/>
      <c r="C41" s="693" t="s">
        <v>1116</v>
      </c>
      <c r="D41" s="693"/>
      <c r="E41" s="697"/>
      <c r="F41" s="693"/>
      <c r="G41" s="698">
        <v>0</v>
      </c>
      <c r="H41" s="696"/>
      <c r="I41" s="696"/>
      <c r="J41" s="696"/>
    </row>
    <row r="42" spans="1:10">
      <c r="A42" s="692"/>
      <c r="B42" s="2"/>
      <c r="C42" s="693" t="s">
        <v>1117</v>
      </c>
      <c r="D42" s="693"/>
      <c r="E42" s="697"/>
      <c r="F42" s="693"/>
      <c r="G42" s="698">
        <v>0</v>
      </c>
      <c r="H42" s="696"/>
      <c r="I42" s="696"/>
      <c r="J42" s="696"/>
    </row>
    <row r="43" spans="1:10">
      <c r="A43" s="692"/>
      <c r="B43" s="2"/>
      <c r="C43" s="693" t="s">
        <v>1169</v>
      </c>
      <c r="D43" s="693"/>
      <c r="E43" s="697"/>
      <c r="F43" s="693"/>
      <c r="G43" s="698">
        <v>0</v>
      </c>
      <c r="H43" s="696"/>
      <c r="I43" s="696"/>
      <c r="J43" s="696"/>
    </row>
    <row r="44" spans="1:10">
      <c r="A44" s="692"/>
      <c r="B44" s="2"/>
      <c r="C44" s="693" t="s">
        <v>1118</v>
      </c>
      <c r="D44" s="693"/>
      <c r="E44" s="699"/>
      <c r="F44" s="693"/>
      <c r="G44" s="700">
        <v>0</v>
      </c>
      <c r="H44" s="696"/>
      <c r="I44" s="696"/>
      <c r="J44" s="696"/>
    </row>
    <row r="45" spans="1:10">
      <c r="A45" s="692"/>
      <c r="B45" s="2"/>
      <c r="C45" s="693"/>
      <c r="D45" s="693"/>
      <c r="E45" s="693"/>
      <c r="F45" s="693"/>
      <c r="G45" s="701"/>
      <c r="H45" s="696"/>
      <c r="I45" s="696"/>
      <c r="J45" s="696"/>
    </row>
    <row r="46" spans="1:10" ht="13.5" thickBot="1">
      <c r="A46" s="692"/>
      <c r="B46" s="2"/>
      <c r="C46" s="8" t="s">
        <v>1108</v>
      </c>
      <c r="D46" s="8"/>
      <c r="E46" s="290"/>
      <c r="F46" s="8"/>
      <c r="G46" s="288">
        <f>SUM(G40:G44)</f>
        <v>0</v>
      </c>
      <c r="H46" s="1"/>
      <c r="I46" s="1"/>
      <c r="J46" s="1"/>
    </row>
    <row r="47" spans="1:10" ht="13.5" thickTop="1">
      <c r="A47" s="692"/>
      <c r="B47" s="2"/>
      <c r="C47" s="8"/>
      <c r="D47" s="8"/>
      <c r="E47" s="8"/>
      <c r="F47" s="8"/>
      <c r="G47" s="5"/>
      <c r="H47" s="1"/>
      <c r="I47" s="1"/>
      <c r="J47" s="1"/>
    </row>
    <row r="48" spans="1:10">
      <c r="A48" s="692"/>
      <c r="B48" s="2"/>
      <c r="C48" s="3" t="s">
        <v>282</v>
      </c>
      <c r="D48" s="3"/>
      <c r="E48" s="3"/>
      <c r="F48" s="3"/>
      <c r="G48" s="5"/>
      <c r="H48" s="1"/>
      <c r="I48" s="1"/>
      <c r="J48" s="1"/>
    </row>
    <row r="49" spans="1:10">
      <c r="A49" s="692"/>
      <c r="B49" s="2"/>
      <c r="C49" s="702" t="s">
        <v>1119</v>
      </c>
      <c r="D49" s="702"/>
      <c r="E49" s="703"/>
      <c r="F49" s="702"/>
      <c r="G49" s="11">
        <v>0</v>
      </c>
      <c r="H49" s="10"/>
      <c r="I49" s="10"/>
      <c r="J49" s="10"/>
    </row>
    <row r="50" spans="1:10">
      <c r="A50" s="692"/>
      <c r="B50" s="2"/>
      <c r="C50" s="704" t="s">
        <v>1193</v>
      </c>
      <c r="D50" s="704"/>
      <c r="E50" s="705"/>
      <c r="F50" s="704"/>
      <c r="G50" s="12">
        <v>0</v>
      </c>
      <c r="H50" s="10"/>
      <c r="I50" s="10"/>
      <c r="J50" s="10"/>
    </row>
    <row r="51" spans="1:10">
      <c r="A51" s="692"/>
      <c r="B51" s="2"/>
      <c r="C51" s="691"/>
      <c r="D51" s="691"/>
      <c r="E51" s="691"/>
      <c r="F51" s="691"/>
      <c r="G51" s="681"/>
      <c r="H51" s="689"/>
      <c r="I51" s="689"/>
      <c r="J51" s="689"/>
    </row>
    <row r="52" spans="1:10">
      <c r="A52" s="692"/>
      <c r="B52" s="2">
        <v>43.3</v>
      </c>
      <c r="C52" s="3" t="s">
        <v>284</v>
      </c>
      <c r="D52" s="3"/>
      <c r="E52" s="3"/>
      <c r="F52" s="3"/>
      <c r="G52" s="5"/>
      <c r="H52" s="1"/>
      <c r="I52" s="1"/>
      <c r="J52" s="1"/>
    </row>
    <row r="53" spans="1:10">
      <c r="A53" s="692"/>
      <c r="B53" s="2"/>
      <c r="C53" s="3" t="s">
        <v>281</v>
      </c>
      <c r="D53" s="3"/>
      <c r="E53" s="3"/>
      <c r="F53" s="3"/>
      <c r="G53" s="5">
        <v>0</v>
      </c>
      <c r="H53" s="1"/>
      <c r="I53" s="1"/>
      <c r="J53" s="1"/>
    </row>
    <row r="54" spans="1:10">
      <c r="A54" s="692"/>
      <c r="B54" s="2"/>
      <c r="C54" s="3" t="s">
        <v>282</v>
      </c>
      <c r="D54" s="3"/>
      <c r="E54" s="3"/>
      <c r="F54" s="3"/>
      <c r="G54" s="6"/>
      <c r="H54" s="1"/>
      <c r="I54" s="1"/>
      <c r="J54" s="1"/>
    </row>
    <row r="55" spans="1:10" ht="25.5">
      <c r="A55" s="692"/>
      <c r="B55" s="2"/>
      <c r="C55" s="693" t="s">
        <v>664</v>
      </c>
      <c r="D55" s="693"/>
      <c r="E55" s="706"/>
      <c r="F55" s="693"/>
      <c r="G55" s="7">
        <v>0</v>
      </c>
      <c r="H55" s="1"/>
      <c r="I55" s="1"/>
      <c r="J55" s="1"/>
    </row>
    <row r="56" spans="1:10">
      <c r="A56" s="692"/>
      <c r="B56" s="2"/>
      <c r="C56" s="693"/>
      <c r="D56" s="693"/>
      <c r="E56" s="693"/>
      <c r="F56" s="693"/>
      <c r="G56" s="4"/>
      <c r="H56" s="1"/>
      <c r="I56" s="1"/>
      <c r="J56" s="1"/>
    </row>
    <row r="57" spans="1:10" ht="13.5" thickBot="1">
      <c r="A57" s="692"/>
      <c r="B57" s="2"/>
      <c r="C57" s="693" t="s">
        <v>1194</v>
      </c>
      <c r="D57" s="693"/>
      <c r="E57" s="707"/>
      <c r="F57" s="693"/>
      <c r="G57" s="288"/>
      <c r="H57" s="1"/>
      <c r="I57" s="1"/>
      <c r="J57" s="1"/>
    </row>
    <row r="58" spans="1:10" ht="13.5" thickTop="1">
      <c r="A58" s="692"/>
      <c r="B58" s="2"/>
      <c r="C58" s="691"/>
      <c r="D58" s="691"/>
      <c r="E58" s="691"/>
      <c r="F58" s="691"/>
      <c r="G58" s="5"/>
      <c r="H58" s="1"/>
      <c r="I58" s="1"/>
      <c r="J58" s="1"/>
    </row>
    <row r="59" spans="1:10">
      <c r="A59" s="692"/>
      <c r="B59" s="2">
        <v>43.4</v>
      </c>
      <c r="C59" s="3" t="s">
        <v>285</v>
      </c>
      <c r="D59" s="3"/>
      <c r="E59" s="3"/>
      <c r="F59" s="3"/>
      <c r="G59" s="5"/>
      <c r="H59" s="1"/>
      <c r="I59" s="1"/>
      <c r="J59" s="1"/>
    </row>
    <row r="60" spans="1:10">
      <c r="A60" s="692"/>
      <c r="B60" s="2"/>
      <c r="C60" s="3" t="s">
        <v>281</v>
      </c>
      <c r="D60" s="3"/>
      <c r="E60" s="3"/>
      <c r="F60" s="3"/>
      <c r="G60" s="5"/>
      <c r="H60" s="1"/>
      <c r="I60" s="1"/>
      <c r="J60" s="1"/>
    </row>
    <row r="61" spans="1:10">
      <c r="A61" s="692"/>
      <c r="B61" s="2"/>
      <c r="C61" s="3" t="s">
        <v>282</v>
      </c>
      <c r="D61" s="3"/>
      <c r="E61" s="291"/>
      <c r="F61" s="3"/>
      <c r="G61" s="11"/>
      <c r="H61" s="1"/>
      <c r="I61" s="1"/>
      <c r="J61" s="1"/>
    </row>
    <row r="62" spans="1:10">
      <c r="A62" s="692"/>
      <c r="B62" s="2"/>
      <c r="C62" s="693" t="s">
        <v>298</v>
      </c>
      <c r="D62" s="693"/>
      <c r="E62" s="697"/>
      <c r="F62" s="693"/>
      <c r="G62" s="698">
        <v>0</v>
      </c>
      <c r="H62" s="696"/>
      <c r="I62" s="696"/>
      <c r="J62" s="696"/>
    </row>
    <row r="63" spans="1:10">
      <c r="A63" s="692"/>
      <c r="B63" s="2"/>
      <c r="C63" s="693" t="s">
        <v>299</v>
      </c>
      <c r="D63" s="693"/>
      <c r="E63" s="697"/>
      <c r="F63" s="693"/>
      <c r="G63" s="698">
        <v>0</v>
      </c>
      <c r="H63" s="696"/>
      <c r="I63" s="696"/>
      <c r="J63" s="696"/>
    </row>
    <row r="64" spans="1:10">
      <c r="A64" s="692"/>
      <c r="B64" s="2"/>
      <c r="C64" s="693" t="s">
        <v>300</v>
      </c>
      <c r="D64" s="693"/>
      <c r="E64" s="697"/>
      <c r="F64" s="693"/>
      <c r="G64" s="698">
        <v>0</v>
      </c>
      <c r="H64" s="696"/>
      <c r="I64" s="696"/>
      <c r="J64" s="696"/>
    </row>
    <row r="65" spans="1:10">
      <c r="A65" s="692"/>
      <c r="B65" s="2"/>
      <c r="C65" s="693" t="s">
        <v>301</v>
      </c>
      <c r="D65" s="693"/>
      <c r="E65" s="699"/>
      <c r="F65" s="693"/>
      <c r="G65" s="700">
        <v>0</v>
      </c>
      <c r="H65" s="696"/>
      <c r="I65" s="696"/>
      <c r="J65" s="696"/>
    </row>
    <row r="66" spans="1:10">
      <c r="A66" s="692"/>
      <c r="B66" s="2"/>
      <c r="C66" s="693"/>
      <c r="D66" s="693"/>
      <c r="E66" s="693"/>
      <c r="F66" s="693"/>
      <c r="G66" s="701"/>
      <c r="H66" s="696"/>
      <c r="I66" s="696"/>
      <c r="J66" s="696"/>
    </row>
    <row r="67" spans="1:10" ht="13.5" thickBot="1">
      <c r="A67" s="692"/>
      <c r="B67" s="2"/>
      <c r="C67" s="693" t="s">
        <v>1194</v>
      </c>
      <c r="D67" s="693"/>
      <c r="E67" s="707"/>
      <c r="F67" s="693"/>
      <c r="G67" s="288">
        <f>SUM(G62:G65)</f>
        <v>0</v>
      </c>
      <c r="H67" s="1"/>
      <c r="I67" s="1"/>
      <c r="J67" s="1"/>
    </row>
    <row r="68" spans="1:10" ht="13.5" thickTop="1">
      <c r="A68" s="708"/>
      <c r="B68" s="13"/>
      <c r="C68" s="709"/>
      <c r="D68" s="709"/>
      <c r="E68" s="709"/>
      <c r="F68" s="709"/>
      <c r="G68" s="6"/>
      <c r="H68" s="1"/>
      <c r="I68" s="1"/>
      <c r="J68" s="1"/>
    </row>
    <row r="69" spans="1:10">
      <c r="A69" s="710"/>
      <c r="B69" s="14">
        <v>43.5</v>
      </c>
      <c r="C69" s="15" t="s">
        <v>286</v>
      </c>
      <c r="D69" s="15"/>
      <c r="E69" s="15"/>
      <c r="F69" s="15"/>
      <c r="G69" s="4"/>
      <c r="H69" s="1"/>
      <c r="I69" s="1"/>
      <c r="J69" s="1"/>
    </row>
    <row r="70" spans="1:10">
      <c r="A70" s="692"/>
      <c r="B70" s="2"/>
      <c r="C70" s="3" t="s">
        <v>281</v>
      </c>
      <c r="D70" s="3"/>
      <c r="E70" s="3"/>
      <c r="F70" s="3"/>
      <c r="G70" s="5">
        <f>+G72</f>
        <v>0</v>
      </c>
      <c r="H70" s="1"/>
      <c r="I70" s="1"/>
      <c r="J70" s="1"/>
    </row>
    <row r="71" spans="1:10">
      <c r="A71" s="692"/>
      <c r="B71" s="2"/>
      <c r="C71" s="3" t="s">
        <v>282</v>
      </c>
      <c r="D71" s="3"/>
      <c r="E71" s="3"/>
      <c r="F71" s="3"/>
      <c r="G71" s="5"/>
      <c r="H71" s="1"/>
      <c r="I71" s="1"/>
      <c r="J71" s="1"/>
    </row>
    <row r="72" spans="1:10">
      <c r="A72" s="692"/>
      <c r="B72" s="2"/>
      <c r="C72" s="693" t="s">
        <v>302</v>
      </c>
      <c r="D72" s="693"/>
      <c r="E72" s="694"/>
      <c r="F72" s="693"/>
      <c r="G72" s="11">
        <v>0</v>
      </c>
      <c r="H72" s="1"/>
      <c r="I72" s="1"/>
      <c r="J72" s="1"/>
    </row>
    <row r="73" spans="1:10">
      <c r="A73" s="692"/>
      <c r="B73" s="2"/>
      <c r="C73" s="693" t="s">
        <v>36</v>
      </c>
      <c r="D73" s="693"/>
      <c r="E73" s="699"/>
      <c r="F73" s="693"/>
      <c r="G73" s="12"/>
      <c r="H73" s="1"/>
      <c r="I73" s="1"/>
      <c r="J73" s="1"/>
    </row>
    <row r="74" spans="1:10">
      <c r="A74" s="692"/>
      <c r="B74" s="2"/>
      <c r="C74" s="691"/>
      <c r="D74" s="691"/>
      <c r="E74" s="691"/>
      <c r="F74" s="691"/>
      <c r="G74" s="5"/>
      <c r="H74" s="1"/>
      <c r="I74" s="1"/>
      <c r="J74" s="1"/>
    </row>
    <row r="75" spans="1:10">
      <c r="A75" s="692"/>
      <c r="B75" s="2">
        <v>43.6</v>
      </c>
      <c r="C75" s="3" t="s">
        <v>287</v>
      </c>
      <c r="D75" s="3"/>
      <c r="E75" s="3"/>
      <c r="F75" s="3"/>
      <c r="G75" s="5"/>
      <c r="H75" s="1"/>
      <c r="I75" s="1"/>
      <c r="J75" s="1"/>
    </row>
    <row r="76" spans="1:10">
      <c r="A76" s="692"/>
      <c r="B76" s="2"/>
      <c r="C76" s="3" t="s">
        <v>282</v>
      </c>
      <c r="D76" s="3"/>
      <c r="E76" s="3"/>
      <c r="F76" s="3"/>
      <c r="G76" s="5"/>
      <c r="H76" s="1"/>
      <c r="I76" s="1"/>
      <c r="J76" s="1"/>
    </row>
    <row r="77" spans="1:10">
      <c r="A77" s="692"/>
      <c r="B77" s="2"/>
      <c r="C77" s="693" t="s">
        <v>1195</v>
      </c>
      <c r="D77" s="693"/>
      <c r="E77" s="694"/>
      <c r="F77" s="693"/>
      <c r="G77" s="695">
        <v>0</v>
      </c>
      <c r="H77" s="696"/>
      <c r="I77" s="696"/>
      <c r="J77" s="696"/>
    </row>
    <row r="78" spans="1:10" ht="25.5">
      <c r="A78" s="692"/>
      <c r="B78" s="2"/>
      <c r="C78" s="693" t="s">
        <v>671</v>
      </c>
      <c r="D78" s="693"/>
      <c r="E78" s="697"/>
      <c r="F78" s="693"/>
      <c r="G78" s="698">
        <v>0</v>
      </c>
      <c r="H78" s="696"/>
      <c r="I78" s="696"/>
      <c r="J78" s="696"/>
    </row>
    <row r="79" spans="1:10">
      <c r="A79" s="692"/>
      <c r="B79" s="2"/>
      <c r="C79" s="693" t="s">
        <v>1196</v>
      </c>
      <c r="D79" s="693"/>
      <c r="E79" s="697"/>
      <c r="F79" s="693"/>
      <c r="G79" s="698">
        <v>0</v>
      </c>
      <c r="H79" s="696"/>
      <c r="I79" s="696"/>
      <c r="J79" s="696"/>
    </row>
    <row r="80" spans="1:10">
      <c r="A80" s="692"/>
      <c r="B80" s="2"/>
      <c r="C80" s="693" t="s">
        <v>1197</v>
      </c>
      <c r="D80" s="693"/>
      <c r="E80" s="697"/>
      <c r="F80" s="693"/>
      <c r="G80" s="698">
        <v>0</v>
      </c>
      <c r="H80" s="696"/>
      <c r="I80" s="696"/>
      <c r="J80" s="696"/>
    </row>
    <row r="81" spans="1:10">
      <c r="A81" s="692"/>
      <c r="B81" s="2"/>
      <c r="C81" s="693" t="s">
        <v>1198</v>
      </c>
      <c r="D81" s="693"/>
      <c r="E81" s="697"/>
      <c r="F81" s="693"/>
      <c r="G81" s="698">
        <v>0</v>
      </c>
      <c r="H81" s="696"/>
      <c r="I81" s="696"/>
      <c r="J81" s="696"/>
    </row>
    <row r="82" spans="1:10">
      <c r="A82" s="692"/>
      <c r="B82" s="2"/>
      <c r="C82" s="693" t="s">
        <v>303</v>
      </c>
      <c r="D82" s="693"/>
      <c r="E82" s="697"/>
      <c r="F82" s="693"/>
      <c r="G82" s="698">
        <v>0</v>
      </c>
      <c r="H82" s="696"/>
      <c r="I82" s="696"/>
      <c r="J82" s="696"/>
    </row>
    <row r="83" spans="1:10">
      <c r="A83" s="692"/>
      <c r="B83" s="2"/>
      <c r="C83" s="693" t="s">
        <v>288</v>
      </c>
      <c r="D83" s="693"/>
      <c r="E83" s="697"/>
      <c r="F83" s="693"/>
      <c r="G83" s="698">
        <v>0</v>
      </c>
      <c r="H83" s="696"/>
      <c r="I83" s="696"/>
      <c r="J83" s="696"/>
    </row>
    <row r="84" spans="1:10">
      <c r="A84" s="692"/>
      <c r="B84" s="2"/>
      <c r="C84" s="693" t="s">
        <v>289</v>
      </c>
      <c r="D84" s="693"/>
      <c r="E84" s="699"/>
      <c r="F84" s="693"/>
      <c r="G84" s="700">
        <v>0</v>
      </c>
      <c r="H84" s="696"/>
      <c r="I84" s="696"/>
      <c r="J84" s="696"/>
    </row>
    <row r="85" spans="1:10">
      <c r="A85" s="692"/>
      <c r="B85" s="2"/>
      <c r="C85" s="693"/>
      <c r="D85" s="693"/>
      <c r="E85" s="693"/>
      <c r="F85" s="693"/>
      <c r="G85" s="701"/>
      <c r="H85" s="696"/>
      <c r="I85" s="696"/>
      <c r="J85" s="696"/>
    </row>
    <row r="86" spans="1:10" ht="13.5" thickBot="1">
      <c r="A86" s="692"/>
      <c r="B86" s="2"/>
      <c r="C86" s="691"/>
      <c r="D86" s="691"/>
      <c r="E86" s="711"/>
      <c r="F86" s="691"/>
      <c r="G86" s="9">
        <f>SUM(G72:G84)</f>
        <v>0</v>
      </c>
      <c r="H86" s="1"/>
      <c r="I86" s="1"/>
      <c r="J86" s="1"/>
    </row>
    <row r="87" spans="1:10" ht="14.25" thickTop="1" thickBot="1">
      <c r="A87" s="712"/>
      <c r="B87" s="259"/>
      <c r="C87" s="713"/>
      <c r="D87" s="713"/>
      <c r="E87" s="713"/>
      <c r="F87" s="713"/>
      <c r="G87" s="713"/>
      <c r="H87" s="713"/>
    </row>
    <row r="88" spans="1:10" ht="13.5" thickTop="1">
      <c r="A88" s="714"/>
      <c r="B88" s="715"/>
      <c r="C88" s="709"/>
      <c r="D88" s="709"/>
      <c r="E88" s="709"/>
      <c r="F88" s="709"/>
      <c r="G88" s="709"/>
      <c r="H88" s="709"/>
    </row>
  </sheetData>
  <mergeCells count="7">
    <mergeCell ref="A1:H1"/>
    <mergeCell ref="A2:H2"/>
    <mergeCell ref="B12:C12"/>
    <mergeCell ref="B6:C6"/>
    <mergeCell ref="B7:C7"/>
    <mergeCell ref="B8:C8"/>
    <mergeCell ref="B10:C10"/>
  </mergeCells>
  <phoneticPr fontId="14" type="noConversion"/>
  <printOptions horizontalCentered="1"/>
  <pageMargins left="0.6692913385826772" right="0.39370078740157483" top="0.98425196850393704" bottom="0.98425196850393704" header="0.51181102362204722" footer="0.51181102362204722"/>
  <pageSetup scale="95" orientation="portrait" r:id="rId1"/>
  <headerFooter alignWithMargins="0">
    <oddHeader>&amp;C FINANCIAL STATEMENTS: MUSINA LOCAL MUNICIPALITY</oddHeader>
    <oddFooter>&amp;RPage &amp;P</oddFooter>
  </headerFooter>
  <rowBreaks count="1" manualBreakCount="1">
    <brk id="37" max="7" man="1"/>
  </rowBreaks>
  <legacyDrawing r:id="rId2"/>
</worksheet>
</file>

<file path=xl/worksheets/sheet5.xml><?xml version="1.0" encoding="utf-8"?>
<worksheet xmlns="http://schemas.openxmlformats.org/spreadsheetml/2006/main" xmlns:r="http://schemas.openxmlformats.org/officeDocument/2006/relationships">
  <sheetPr>
    <pageSetUpPr fitToPage="1"/>
  </sheetPr>
  <dimension ref="A1:R52"/>
  <sheetViews>
    <sheetView view="pageBreakPreview" topLeftCell="A7" zoomScaleSheetLayoutView="100" workbookViewId="0">
      <selection activeCell="C11" sqref="C11"/>
    </sheetView>
  </sheetViews>
  <sheetFormatPr defaultRowHeight="12.75"/>
  <cols>
    <col min="1" max="1" width="36.7109375" style="1610" bestFit="1" customWidth="1"/>
    <col min="2" max="2" width="5.140625" style="335" bestFit="1" customWidth="1"/>
    <col min="3" max="3" width="18.140625" style="335" customWidth="1"/>
    <col min="4" max="4" width="2.85546875" style="335" customWidth="1"/>
    <col min="5" max="11" width="18.140625" style="335" customWidth="1"/>
    <col min="12" max="13" width="9.140625" style="316" customWidth="1"/>
    <col min="14" max="16384" width="9.140625" style="1610"/>
  </cols>
  <sheetData>
    <row r="1" spans="1:17" s="135" customFormat="1">
      <c r="A1" s="1662" t="s">
        <v>477</v>
      </c>
      <c r="B1" s="1663"/>
      <c r="C1" s="1663"/>
      <c r="D1" s="1663"/>
      <c r="E1" s="1664"/>
      <c r="F1" s="1603"/>
      <c r="G1" s="1603"/>
      <c r="H1" s="1603"/>
      <c r="I1" s="1603"/>
      <c r="J1" s="1603"/>
      <c r="K1" s="1603"/>
      <c r="L1" s="185"/>
      <c r="M1" s="185"/>
    </row>
    <row r="2" spans="1:17" s="135" customFormat="1">
      <c r="A2" s="1665" t="s">
        <v>704</v>
      </c>
      <c r="B2" s="1666"/>
      <c r="C2" s="1666"/>
      <c r="D2" s="1666"/>
      <c r="E2" s="1667"/>
      <c r="F2" s="1603"/>
      <c r="G2" s="1603"/>
      <c r="H2" s="1603"/>
      <c r="I2" s="1603"/>
      <c r="J2" s="1603"/>
      <c r="K2" s="1603"/>
      <c r="L2" s="185"/>
      <c r="M2" s="185"/>
    </row>
    <row r="3" spans="1:17" s="135" customFormat="1">
      <c r="A3" s="1668" t="s">
        <v>2075</v>
      </c>
      <c r="B3" s="1669"/>
      <c r="C3" s="1669"/>
      <c r="D3" s="1669"/>
      <c r="E3" s="1670"/>
      <c r="F3" s="1605"/>
      <c r="G3" s="1605"/>
      <c r="H3" s="1605"/>
      <c r="I3" s="1605"/>
      <c r="J3" s="1605"/>
      <c r="K3" s="1605"/>
      <c r="L3" s="185"/>
      <c r="M3" s="185"/>
    </row>
    <row r="4" spans="1:17">
      <c r="A4" s="269"/>
      <c r="E4" s="336"/>
    </row>
    <row r="5" spans="1:17">
      <c r="A5" s="269"/>
      <c r="E5" s="336"/>
    </row>
    <row r="6" spans="1:17">
      <c r="A6" s="269"/>
      <c r="C6" s="261">
        <v>2011</v>
      </c>
      <c r="E6" s="264" t="s">
        <v>1796</v>
      </c>
      <c r="F6" s="1609"/>
      <c r="G6" s="1609"/>
      <c r="H6" s="1609"/>
      <c r="I6" s="1609"/>
      <c r="J6" s="1609"/>
      <c r="K6" s="1609"/>
      <c r="N6" s="316"/>
      <c r="O6" s="316"/>
    </row>
    <row r="7" spans="1:17">
      <c r="A7" s="269"/>
      <c r="B7" s="1603" t="s">
        <v>703</v>
      </c>
      <c r="C7" s="1603"/>
      <c r="D7" s="1603"/>
      <c r="E7" s="1604"/>
      <c r="F7" s="1603"/>
      <c r="G7" s="1603"/>
      <c r="H7" s="1603"/>
      <c r="I7" s="1603"/>
      <c r="J7" s="1603"/>
      <c r="K7" s="1603"/>
      <c r="N7" s="316"/>
      <c r="O7" s="316"/>
    </row>
    <row r="8" spans="1:17">
      <c r="A8" s="265" t="s">
        <v>452</v>
      </c>
      <c r="E8" s="336"/>
      <c r="N8" s="316"/>
      <c r="O8" s="316"/>
    </row>
    <row r="9" spans="1:17" s="135" customFormat="1">
      <c r="A9" s="265" t="s">
        <v>453</v>
      </c>
      <c r="B9" s="1603"/>
      <c r="C9" s="134">
        <f>SUM(C10:C11)</f>
        <v>162115286.43000001</v>
      </c>
      <c r="D9" s="1603"/>
      <c r="E9" s="266">
        <f>SUM(E10:E11)</f>
        <v>150049826.79999998</v>
      </c>
      <c r="F9" s="136"/>
      <c r="G9" s="136"/>
      <c r="H9" s="136"/>
      <c r="I9" s="136"/>
      <c r="J9" s="136"/>
      <c r="K9" s="136"/>
      <c r="L9" s="185"/>
      <c r="M9" s="185"/>
      <c r="N9" s="185"/>
      <c r="O9" s="185"/>
    </row>
    <row r="10" spans="1:17">
      <c r="A10" s="269" t="s">
        <v>1106</v>
      </c>
      <c r="B10" s="335">
        <v>3</v>
      </c>
      <c r="C10" s="319">
        <f>'Notes 2 - 9'!D37</f>
        <v>63350653</v>
      </c>
      <c r="E10" s="337">
        <f>SUM('Notes 2 - 9'!F37)</f>
        <v>63859283</v>
      </c>
      <c r="F10" s="317"/>
      <c r="G10" s="317"/>
      <c r="H10" s="317"/>
      <c r="I10" s="317"/>
      <c r="J10" s="317"/>
      <c r="K10" s="317"/>
      <c r="N10" s="316"/>
      <c r="O10" s="316"/>
      <c r="P10" s="316"/>
      <c r="Q10" s="316"/>
    </row>
    <row r="11" spans="1:17">
      <c r="A11" s="269" t="s">
        <v>455</v>
      </c>
      <c r="B11" s="335">
        <v>4</v>
      </c>
      <c r="C11" s="339">
        <f>+SUM('Notes 2 - 9'!D58)-'Notes 2 - 9'!D22-'Notes 2 - 9'!D28</f>
        <v>98764633.430000007</v>
      </c>
      <c r="E11" s="339">
        <f>+SUM('Notes 2 - 9'!F58)-'Notes 2 - 9'!F22-'Notes 2 - 9'!F28</f>
        <v>86190543.799999982</v>
      </c>
      <c r="F11" s="317"/>
      <c r="G11" s="317"/>
      <c r="H11" s="317"/>
      <c r="I11" s="317"/>
      <c r="J11" s="317"/>
      <c r="K11" s="317"/>
      <c r="N11" s="316"/>
      <c r="O11" s="316"/>
      <c r="P11" s="316"/>
    </row>
    <row r="12" spans="1:17">
      <c r="A12" s="265"/>
      <c r="E12" s="336"/>
      <c r="N12" s="316"/>
      <c r="O12" s="316"/>
      <c r="P12" s="316"/>
    </row>
    <row r="13" spans="1:17" s="135" customFormat="1">
      <c r="A13" s="265" t="s">
        <v>456</v>
      </c>
      <c r="B13" s="1603"/>
      <c r="C13" s="136">
        <f>SUM(C14:C15)</f>
        <v>13525878.65</v>
      </c>
      <c r="D13" s="1603"/>
      <c r="E13" s="268">
        <f>SUM(E14:E15)</f>
        <v>15074478.74</v>
      </c>
      <c r="F13" s="317"/>
      <c r="G13" s="317"/>
      <c r="H13" s="317"/>
      <c r="I13" s="317"/>
      <c r="J13" s="317"/>
      <c r="K13" s="317"/>
      <c r="L13" s="185"/>
      <c r="M13" s="185"/>
      <c r="N13" s="185"/>
      <c r="O13" s="185"/>
      <c r="P13" s="185"/>
    </row>
    <row r="14" spans="1:17">
      <c r="A14" s="269" t="s">
        <v>457</v>
      </c>
      <c r="B14" s="335">
        <v>5</v>
      </c>
      <c r="C14" s="333">
        <f>'Notes 2 - 9'!D71</f>
        <v>13525878.65</v>
      </c>
      <c r="E14" s="333">
        <f>'Notes 2 - 9'!F71</f>
        <v>15074478.74</v>
      </c>
      <c r="F14" s="342">
        <f>E14-C14</f>
        <v>1548600.0899999999</v>
      </c>
      <c r="G14" s="317"/>
      <c r="H14" s="317"/>
      <c r="I14" s="317"/>
      <c r="J14" s="317"/>
      <c r="K14" s="317"/>
      <c r="N14" s="316"/>
      <c r="O14" s="316"/>
      <c r="P14" s="316"/>
    </row>
    <row r="15" spans="1:17" hidden="1">
      <c r="A15" s="269" t="s">
        <v>458</v>
      </c>
      <c r="B15" s="335">
        <v>5</v>
      </c>
      <c r="C15" s="340"/>
      <c r="E15" s="340"/>
      <c r="N15" s="316"/>
      <c r="O15" s="316"/>
      <c r="P15" s="316"/>
    </row>
    <row r="16" spans="1:17">
      <c r="A16" s="265"/>
      <c r="E16" s="336"/>
      <c r="N16" s="316"/>
      <c r="O16" s="316"/>
      <c r="P16" s="316"/>
    </row>
    <row r="17" spans="1:18" s="135" customFormat="1">
      <c r="A17" s="265" t="s">
        <v>451</v>
      </c>
      <c r="B17" s="1603"/>
      <c r="C17" s="136">
        <f>SUM(C18:C23)</f>
        <v>79367361.399999991</v>
      </c>
      <c r="D17" s="1603"/>
      <c r="E17" s="268">
        <f>SUM(E18:E23)</f>
        <v>70211296.049999997</v>
      </c>
      <c r="F17" s="317"/>
      <c r="G17" s="317"/>
      <c r="H17" s="317"/>
      <c r="I17" s="317"/>
      <c r="J17" s="317"/>
      <c r="K17" s="317"/>
      <c r="L17" s="185"/>
      <c r="M17" s="185"/>
      <c r="N17" s="185"/>
      <c r="O17" s="185"/>
      <c r="P17" s="185"/>
    </row>
    <row r="18" spans="1:18">
      <c r="A18" s="269" t="s">
        <v>459</v>
      </c>
      <c r="B18" s="335">
        <v>6</v>
      </c>
      <c r="C18" s="319">
        <f>'Notes 2 - 9'!D109</f>
        <v>3263660.98</v>
      </c>
      <c r="E18" s="341">
        <f>'Notes 2 - 9'!F109</f>
        <v>2799762.2700000005</v>
      </c>
      <c r="F18" s="342">
        <f t="shared" ref="F18:F23" si="0">E18-C18</f>
        <v>-463898.7099999995</v>
      </c>
      <c r="G18" s="317"/>
      <c r="H18" s="317"/>
      <c r="I18" s="317"/>
      <c r="J18" s="317"/>
      <c r="K18" s="317"/>
      <c r="N18" s="316"/>
      <c r="O18" s="316"/>
      <c r="P18" s="316"/>
    </row>
    <row r="19" spans="1:18">
      <c r="A19" s="269" t="s">
        <v>460</v>
      </c>
      <c r="B19" s="335">
        <v>7</v>
      </c>
      <c r="C19" s="213">
        <f>-'Notes 2 - 9'!D124</f>
        <v>2087993.4000000001</v>
      </c>
      <c r="E19" s="337">
        <f>-'Notes 2 - 9'!F124</f>
        <v>1668102.83</v>
      </c>
      <c r="F19" s="342">
        <f t="shared" si="0"/>
        <v>-419890.57000000007</v>
      </c>
      <c r="G19" s="317"/>
      <c r="H19" s="317"/>
      <c r="I19" s="317"/>
      <c r="J19" s="317"/>
      <c r="K19" s="317"/>
      <c r="N19" s="316"/>
      <c r="O19" s="316"/>
      <c r="P19" s="316"/>
      <c r="Q19" s="316"/>
      <c r="R19" s="316"/>
    </row>
    <row r="20" spans="1:18">
      <c r="A20" s="269" t="s">
        <v>1326</v>
      </c>
      <c r="B20" s="335">
        <v>8</v>
      </c>
      <c r="C20" s="213">
        <f>'Notes 2 - 9'!D187</f>
        <v>63391414.280000001</v>
      </c>
      <c r="E20" s="337">
        <f>'Notes 2 - 9'!F187</f>
        <v>50916632.009999998</v>
      </c>
      <c r="F20" s="342">
        <f t="shared" si="0"/>
        <v>-12474782.270000003</v>
      </c>
      <c r="G20" s="317"/>
      <c r="H20" s="317"/>
      <c r="I20" s="317"/>
      <c r="J20" s="317"/>
      <c r="K20" s="317"/>
      <c r="N20" s="316"/>
      <c r="O20" s="316"/>
      <c r="P20" s="316"/>
      <c r="Q20" s="316"/>
      <c r="R20" s="316"/>
    </row>
    <row r="21" spans="1:18">
      <c r="A21" s="269" t="s">
        <v>1699</v>
      </c>
      <c r="B21" s="335">
        <v>8</v>
      </c>
      <c r="C21" s="213">
        <f>'Notes 2 - 9'!D189</f>
        <v>2759952.0700000003</v>
      </c>
      <c r="E21" s="337">
        <f>'Notes 2 - 9'!F189</f>
        <v>1401169.7599999979</v>
      </c>
      <c r="F21" s="342">
        <f t="shared" si="0"/>
        <v>-1358782.3100000024</v>
      </c>
      <c r="G21" s="317"/>
      <c r="H21" s="317"/>
      <c r="I21" s="317"/>
      <c r="J21" s="317"/>
      <c r="K21" s="317"/>
      <c r="N21" s="316"/>
      <c r="O21" s="316"/>
      <c r="P21" s="316"/>
      <c r="Q21" s="316"/>
      <c r="R21" s="316"/>
    </row>
    <row r="22" spans="1:18">
      <c r="A22" s="269" t="s">
        <v>461</v>
      </c>
      <c r="B22" s="335">
        <v>9</v>
      </c>
      <c r="C22" s="213">
        <f>'Notes 2 - 9'!D203</f>
        <v>6160952.7399999993</v>
      </c>
      <c r="E22" s="337">
        <f>'Notes 2 - 9'!F203</f>
        <v>9004553.2599999998</v>
      </c>
      <c r="F22" s="342">
        <f t="shared" si="0"/>
        <v>2843600.5200000005</v>
      </c>
      <c r="G22" s="317"/>
      <c r="H22" s="317"/>
      <c r="I22" s="317"/>
      <c r="J22" s="317"/>
      <c r="K22" s="317"/>
      <c r="N22" s="316"/>
      <c r="O22" s="316"/>
      <c r="P22" s="316"/>
      <c r="Q22" s="316"/>
      <c r="R22" s="316"/>
    </row>
    <row r="23" spans="1:18">
      <c r="A23" s="269" t="s">
        <v>689</v>
      </c>
      <c r="B23" s="335">
        <v>5</v>
      </c>
      <c r="C23" s="338">
        <f>-'Notes 2 - 9'!D69</f>
        <v>1703387.93</v>
      </c>
      <c r="E23" s="339">
        <f>-'Notes 2 - 9'!F69</f>
        <v>4421075.92</v>
      </c>
      <c r="F23" s="342">
        <f t="shared" si="0"/>
        <v>2717687.99</v>
      </c>
      <c r="G23" s="317"/>
      <c r="H23" s="317"/>
      <c r="I23" s="317"/>
      <c r="J23" s="317"/>
      <c r="K23" s="317"/>
      <c r="L23" s="185"/>
      <c r="N23" s="316"/>
      <c r="O23" s="316"/>
      <c r="P23" s="316"/>
    </row>
    <row r="24" spans="1:18">
      <c r="A24" s="269"/>
      <c r="E24" s="336"/>
      <c r="I24" s="349"/>
      <c r="N24" s="316"/>
      <c r="O24" s="316"/>
      <c r="P24" s="316"/>
    </row>
    <row r="25" spans="1:18" s="135" customFormat="1">
      <c r="A25" s="267" t="s">
        <v>690</v>
      </c>
      <c r="B25" s="1603"/>
      <c r="C25" s="136">
        <f>C17+C13+C9</f>
        <v>255008526.48000002</v>
      </c>
      <c r="D25" s="1603"/>
      <c r="E25" s="268">
        <f>E17+E13+E9</f>
        <v>235335601.58999997</v>
      </c>
      <c r="F25" s="136"/>
      <c r="G25" s="136"/>
      <c r="H25" s="136"/>
      <c r="I25" s="136"/>
      <c r="J25" s="136"/>
      <c r="K25" s="136"/>
      <c r="L25" s="185"/>
      <c r="M25" s="185"/>
      <c r="N25" s="185"/>
      <c r="O25" s="185"/>
      <c r="P25" s="185"/>
    </row>
    <row r="26" spans="1:18">
      <c r="A26" s="265"/>
      <c r="E26" s="336"/>
      <c r="I26" s="349"/>
      <c r="N26" s="316"/>
      <c r="O26" s="316"/>
      <c r="P26" s="316"/>
    </row>
    <row r="27" spans="1:18">
      <c r="A27" s="265" t="s">
        <v>691</v>
      </c>
      <c r="E27" s="336"/>
      <c r="N27" s="316"/>
      <c r="O27" s="316"/>
      <c r="P27" s="316"/>
    </row>
    <row r="28" spans="1:18" s="135" customFormat="1">
      <c r="A28" s="265" t="s">
        <v>692</v>
      </c>
      <c r="B28" s="1603"/>
      <c r="C28" s="1191">
        <f>SUM(C29:C33)</f>
        <v>145392780.60172001</v>
      </c>
      <c r="D28" s="1603"/>
      <c r="E28" s="355">
        <f>SUM(E29:E33)</f>
        <v>136003051.05291998</v>
      </c>
      <c r="F28" s="342"/>
      <c r="G28" s="342"/>
      <c r="H28" s="342"/>
      <c r="I28" s="342"/>
      <c r="J28" s="342"/>
      <c r="K28" s="342"/>
      <c r="L28" s="185"/>
      <c r="M28" s="185"/>
      <c r="N28" s="185"/>
      <c r="O28" s="185"/>
      <c r="P28" s="185"/>
    </row>
    <row r="29" spans="1:18">
      <c r="A29" s="269" t="s">
        <v>694</v>
      </c>
      <c r="B29" s="335">
        <v>10</v>
      </c>
      <c r="C29" s="358">
        <f>'Note 10'!I28</f>
        <v>106186354.16172001</v>
      </c>
      <c r="E29" s="358">
        <f>'Note 10'!I10</f>
        <v>98113311.902919978</v>
      </c>
      <c r="F29" s="342">
        <f t="shared" ref="F29:F33" si="1">E29-C29</f>
        <v>-8073042.2588000298</v>
      </c>
      <c r="G29" s="342"/>
      <c r="H29" s="342"/>
      <c r="I29" s="342"/>
      <c r="J29" s="342"/>
      <c r="K29" s="342"/>
      <c r="N29" s="316"/>
      <c r="O29" s="316"/>
      <c r="P29" s="316"/>
    </row>
    <row r="30" spans="1:18">
      <c r="A30" s="269" t="s">
        <v>1675</v>
      </c>
      <c r="B30" s="344" t="s">
        <v>1688</v>
      </c>
      <c r="C30" s="213">
        <f>'Nota 10a '!H42</f>
        <v>86680.959999999992</v>
      </c>
      <c r="D30" s="344"/>
      <c r="E30" s="213">
        <f>'Nota 10a '!D24</f>
        <v>172094.46</v>
      </c>
      <c r="F30" s="342">
        <f t="shared" si="1"/>
        <v>85413.5</v>
      </c>
      <c r="G30" s="317"/>
      <c r="H30" s="317"/>
      <c r="I30" s="317"/>
      <c r="J30" s="317"/>
      <c r="K30" s="317"/>
      <c r="N30" s="316"/>
      <c r="O30" s="316"/>
      <c r="P30" s="316"/>
    </row>
    <row r="31" spans="1:18">
      <c r="A31" s="269" t="s">
        <v>1676</v>
      </c>
      <c r="B31" s="345" t="s">
        <v>1689</v>
      </c>
      <c r="C31" s="360">
        <f>'Note 10b'!H16</f>
        <v>35241000</v>
      </c>
      <c r="D31" s="345"/>
      <c r="E31" s="360">
        <f>'Note 10b'!H12</f>
        <v>35706000</v>
      </c>
      <c r="F31" s="342">
        <f t="shared" si="1"/>
        <v>465000</v>
      </c>
      <c r="G31" s="346"/>
      <c r="H31" s="346"/>
      <c r="I31" s="346"/>
      <c r="J31" s="346"/>
      <c r="K31" s="346"/>
      <c r="N31" s="316"/>
      <c r="O31" s="316"/>
      <c r="P31" s="316"/>
    </row>
    <row r="32" spans="1:18" hidden="1">
      <c r="A32" s="269" t="s">
        <v>695</v>
      </c>
      <c r="B32" s="335">
        <v>37</v>
      </c>
      <c r="C32" s="350"/>
      <c r="E32" s="350"/>
      <c r="F32" s="342">
        <f t="shared" si="1"/>
        <v>0</v>
      </c>
      <c r="N32" s="316"/>
      <c r="O32" s="316"/>
      <c r="P32" s="316"/>
    </row>
    <row r="33" spans="1:17">
      <c r="A33" s="269" t="s">
        <v>696</v>
      </c>
      <c r="B33" s="335">
        <v>12</v>
      </c>
      <c r="C33" s="359">
        <f>'Note 11-14'!D38</f>
        <v>3878745.4799999995</v>
      </c>
      <c r="E33" s="359">
        <f>'Note 11-14'!F38</f>
        <v>2011644.69</v>
      </c>
      <c r="F33" s="342">
        <f t="shared" si="1"/>
        <v>-1867100.7899999996</v>
      </c>
      <c r="G33" s="342"/>
      <c r="H33" s="342"/>
      <c r="I33" s="342"/>
      <c r="J33" s="342"/>
      <c r="K33" s="342"/>
      <c r="N33" s="316"/>
      <c r="O33" s="316"/>
      <c r="P33" s="316"/>
    </row>
    <row r="34" spans="1:17">
      <c r="A34" s="269" t="s">
        <v>1330</v>
      </c>
      <c r="B34" s="335">
        <v>13</v>
      </c>
      <c r="C34" s="340"/>
      <c r="E34" s="340"/>
      <c r="N34" s="316"/>
      <c r="O34" s="316"/>
      <c r="P34" s="316"/>
    </row>
    <row r="35" spans="1:17">
      <c r="A35" s="265"/>
      <c r="E35" s="336"/>
      <c r="N35" s="316"/>
      <c r="O35" s="316"/>
      <c r="P35" s="316"/>
    </row>
    <row r="36" spans="1:17" s="135" customFormat="1">
      <c r="A36" s="265" t="s">
        <v>450</v>
      </c>
      <c r="B36" s="1603"/>
      <c r="C36" s="357">
        <f>SUM(C37:C42)</f>
        <v>109615745.83</v>
      </c>
      <c r="D36" s="1603"/>
      <c r="E36" s="356">
        <f>SUM(E37:E42)</f>
        <v>99332550.795000002</v>
      </c>
      <c r="F36" s="349"/>
      <c r="G36" s="349"/>
      <c r="H36" s="349"/>
      <c r="I36" s="349"/>
      <c r="J36" s="349"/>
      <c r="K36" s="349"/>
      <c r="L36" s="185"/>
      <c r="M36" s="185"/>
      <c r="N36" s="185"/>
      <c r="O36" s="185"/>
      <c r="P36" s="185"/>
    </row>
    <row r="37" spans="1:17">
      <c r="A37" s="269" t="s">
        <v>697</v>
      </c>
      <c r="B37" s="335">
        <v>14</v>
      </c>
      <c r="C37" s="358">
        <f>'Note 11-14'!D84</f>
        <v>84850059.549999997</v>
      </c>
      <c r="E37" s="343">
        <f>'Note 11-14'!F84</f>
        <v>81415041.439999998</v>
      </c>
      <c r="F37" s="342">
        <f>E37-C37+12279080</f>
        <v>8844061.8900000006</v>
      </c>
      <c r="G37" s="342"/>
      <c r="H37" s="342"/>
      <c r="I37" s="342"/>
      <c r="J37" s="342"/>
      <c r="K37" s="342"/>
      <c r="N37" s="316"/>
      <c r="O37" s="316"/>
      <c r="P37" s="316"/>
    </row>
    <row r="38" spans="1:17" hidden="1">
      <c r="A38" s="269" t="s">
        <v>698</v>
      </c>
      <c r="B38" s="335">
        <v>12</v>
      </c>
      <c r="C38" s="350"/>
      <c r="E38" s="347"/>
      <c r="F38" s="342">
        <f t="shared" ref="F38:F42" si="2">E38-C38</f>
        <v>0</v>
      </c>
      <c r="N38" s="316"/>
      <c r="O38" s="316"/>
      <c r="P38" s="316"/>
    </row>
    <row r="39" spans="1:17">
      <c r="A39" s="269" t="s">
        <v>699</v>
      </c>
      <c r="B39" s="335">
        <v>15</v>
      </c>
      <c r="C39" s="359">
        <f>'Note 15'!E18</f>
        <v>7866689.3100000015</v>
      </c>
      <c r="E39" s="351">
        <f>'Note 15'!E38</f>
        <v>8304453.3649999993</v>
      </c>
      <c r="F39" s="342">
        <f t="shared" si="2"/>
        <v>437764.05499999784</v>
      </c>
      <c r="G39" s="342"/>
      <c r="H39" s="342"/>
      <c r="I39" s="342"/>
      <c r="J39" s="342"/>
      <c r="K39" s="342"/>
      <c r="N39" s="316"/>
      <c r="O39" s="316"/>
      <c r="P39" s="316"/>
    </row>
    <row r="40" spans="1:17">
      <c r="A40" s="269" t="s">
        <v>2065</v>
      </c>
      <c r="B40" s="335">
        <v>16</v>
      </c>
      <c r="C40" s="359">
        <f>'Note 16-17'!D23</f>
        <v>10791847.640000008</v>
      </c>
      <c r="E40" s="351">
        <f>'Note 16-17'!F23</f>
        <v>8507081.8200000115</v>
      </c>
      <c r="F40" s="342">
        <f t="shared" si="2"/>
        <v>-2284765.8199999966</v>
      </c>
      <c r="G40" s="342"/>
      <c r="H40" s="342"/>
      <c r="I40" s="342"/>
      <c r="J40" s="342"/>
      <c r="K40" s="342"/>
      <c r="N40" s="316"/>
      <c r="O40" s="316"/>
      <c r="P40" s="316"/>
    </row>
    <row r="41" spans="1:17" hidden="1">
      <c r="A41" s="269" t="s">
        <v>701</v>
      </c>
      <c r="B41" s="335">
        <v>13</v>
      </c>
      <c r="C41" s="350"/>
      <c r="E41" s="347"/>
      <c r="F41" s="342">
        <f t="shared" si="2"/>
        <v>0</v>
      </c>
      <c r="N41" s="316"/>
      <c r="O41" s="316"/>
      <c r="P41" s="316"/>
      <c r="Q41" s="316"/>
    </row>
    <row r="42" spans="1:17">
      <c r="A42" s="269" t="s">
        <v>1333</v>
      </c>
      <c r="B42" s="335">
        <v>17</v>
      </c>
      <c r="C42" s="348">
        <f>'Note 16-17'!D127</f>
        <v>6107149.3299999982</v>
      </c>
      <c r="E42" s="348">
        <f>'Note 16-17'!F127</f>
        <v>1105974.17</v>
      </c>
      <c r="F42" s="342">
        <f t="shared" si="2"/>
        <v>-5001175.1599999983</v>
      </c>
      <c r="G42" s="342"/>
      <c r="H42" s="342"/>
      <c r="I42" s="342"/>
      <c r="J42" s="342"/>
      <c r="K42" s="342"/>
      <c r="N42" s="316"/>
      <c r="O42" s="316"/>
      <c r="P42" s="316"/>
      <c r="Q42" s="316"/>
    </row>
    <row r="43" spans="1:17">
      <c r="A43" s="269"/>
      <c r="E43" s="336"/>
      <c r="N43" s="316"/>
      <c r="O43" s="316"/>
      <c r="P43" s="316"/>
      <c r="Q43" s="316"/>
    </row>
    <row r="44" spans="1:17" s="135" customFormat="1">
      <c r="A44" s="267" t="s">
        <v>702</v>
      </c>
      <c r="B44" s="1603"/>
      <c r="C44" s="136">
        <f>C36+C28</f>
        <v>255008526.43172002</v>
      </c>
      <c r="D44" s="1603"/>
      <c r="E44" s="268">
        <f>E36+E28</f>
        <v>235335601.84792</v>
      </c>
      <c r="F44" s="136"/>
      <c r="G44" s="136"/>
      <c r="H44" s="136"/>
      <c r="I44" s="136"/>
      <c r="J44" s="136"/>
      <c r="K44" s="136"/>
      <c r="L44" s="185"/>
      <c r="M44" s="185"/>
      <c r="N44" s="185"/>
      <c r="O44" s="185"/>
    </row>
    <row r="45" spans="1:17" ht="13.5" thickBot="1">
      <c r="A45" s="352"/>
      <c r="B45" s="353"/>
      <c r="C45" s="353"/>
      <c r="D45" s="353"/>
      <c r="E45" s="354"/>
      <c r="N45" s="316"/>
      <c r="O45" s="316"/>
    </row>
    <row r="46" spans="1:17">
      <c r="N46" s="316"/>
      <c r="O46" s="316"/>
    </row>
    <row r="47" spans="1:17">
      <c r="N47" s="316"/>
      <c r="O47" s="316"/>
    </row>
    <row r="48" spans="1:17">
      <c r="C48" s="317">
        <f>C25-C44</f>
        <v>4.8280000686645508E-2</v>
      </c>
      <c r="E48" s="317">
        <f>E25-E44</f>
        <v>-0.2579200267791748</v>
      </c>
      <c r="F48" s="317"/>
      <c r="G48" s="317"/>
      <c r="H48" s="317"/>
      <c r="I48" s="317"/>
      <c r="J48" s="317"/>
      <c r="K48" s="317"/>
      <c r="N48" s="316"/>
      <c r="O48" s="316"/>
    </row>
    <row r="49" spans="5:15">
      <c r="N49" s="316"/>
      <c r="O49" s="316"/>
    </row>
    <row r="50" spans="5:15">
      <c r="N50" s="316"/>
      <c r="O50" s="316"/>
    </row>
    <row r="52" spans="5:15">
      <c r="E52" s="349"/>
      <c r="F52" s="349"/>
      <c r="G52" s="349"/>
      <c r="H52" s="349"/>
      <c r="I52" s="349"/>
      <c r="J52" s="349"/>
      <c r="K52" s="349"/>
    </row>
  </sheetData>
  <mergeCells count="3">
    <mergeCell ref="A1:E1"/>
    <mergeCell ref="A2:E2"/>
    <mergeCell ref="A3:E3"/>
  </mergeCells>
  <phoneticPr fontId="0" type="noConversion"/>
  <printOptions horizontalCentered="1"/>
  <pageMargins left="0.6692913385826772" right="0.39370078740157483" top="0.98425196850393704" bottom="0.98425196850393704" header="0.51181102362204722" footer="0.51181102362204722"/>
  <pageSetup orientation="portrait" r:id="rId1"/>
  <headerFooter alignWithMargins="0">
    <oddHeader>&amp;C FINANCIAL STATEMENTS: MUSINA LOCAL MUNICIPALITY</oddHeader>
    <oddFooter>&amp;RPage &amp;P</oddFooter>
  </headerFooter>
</worksheet>
</file>

<file path=xl/worksheets/sheet6.xml><?xml version="1.0" encoding="utf-8"?>
<worksheet xmlns="http://schemas.openxmlformats.org/spreadsheetml/2006/main" xmlns:r="http://schemas.openxmlformats.org/officeDocument/2006/relationships">
  <sheetPr>
    <tabColor rgb="FF66FF66"/>
    <pageSetUpPr fitToPage="1"/>
  </sheetPr>
  <dimension ref="A1:AF124"/>
  <sheetViews>
    <sheetView view="pageBreakPreview" topLeftCell="A32" zoomScaleSheetLayoutView="100" workbookViewId="0">
      <selection activeCell="K64" sqref="K64"/>
    </sheetView>
  </sheetViews>
  <sheetFormatPr defaultRowHeight="12.75"/>
  <cols>
    <col min="1" max="1" width="2" style="1025" customWidth="1"/>
    <col min="2" max="2" width="2.7109375" style="1025" customWidth="1"/>
    <col min="3" max="3" width="45.7109375" style="1025" customWidth="1"/>
    <col min="4" max="4" width="5.42578125" style="217" bestFit="1" customWidth="1"/>
    <col min="5" max="5" width="5.42578125" style="217" customWidth="1"/>
    <col min="6" max="6" width="15.42578125" style="210" customWidth="1"/>
    <col min="7" max="7" width="5.42578125" style="217" customWidth="1"/>
    <col min="8" max="8" width="15.42578125" style="210" bestFit="1" customWidth="1"/>
    <col min="9" max="17" width="15.42578125" style="210" customWidth="1"/>
    <col min="18" max="18" width="2.7109375" style="1025" customWidth="1"/>
    <col min="19" max="19" width="16.5703125" style="219" bestFit="1" customWidth="1"/>
    <col min="20" max="20" width="2.5703125" style="412" customWidth="1"/>
    <col min="21" max="21" width="16.5703125" style="219" hidden="1" customWidth="1"/>
    <col min="22" max="22" width="1.5703125" style="1025" hidden="1" customWidth="1"/>
    <col min="23" max="23" width="12.7109375" style="219" hidden="1" customWidth="1"/>
    <col min="24" max="24" width="18.140625" style="219" hidden="1" customWidth="1"/>
    <col min="25" max="25" width="18.28515625" style="220" customWidth="1"/>
    <col min="26" max="26" width="25.7109375" style="220" customWidth="1"/>
    <col min="27" max="27" width="16.42578125" style="220" bestFit="1" customWidth="1"/>
    <col min="28" max="28" width="14.5703125" style="220" bestFit="1" customWidth="1"/>
    <col min="29" max="32" width="9.140625" style="220" customWidth="1"/>
    <col min="33" max="16384" width="9.140625" style="1025"/>
  </cols>
  <sheetData>
    <row r="1" spans="1:32">
      <c r="A1" s="482"/>
      <c r="B1" s="528"/>
      <c r="C1" s="1671" t="s">
        <v>705</v>
      </c>
      <c r="D1" s="1672"/>
      <c r="E1" s="1672"/>
      <c r="F1" s="1672"/>
      <c r="G1" s="1672"/>
      <c r="H1" s="1673"/>
      <c r="I1" s="1606"/>
      <c r="J1" s="1606"/>
      <c r="K1" s="1606"/>
      <c r="L1" s="1606"/>
      <c r="M1" s="1606"/>
      <c r="N1" s="1606"/>
      <c r="O1" s="1606"/>
      <c r="P1" s="1606"/>
      <c r="Q1" s="1606"/>
      <c r="R1" s="1606"/>
      <c r="S1" s="1606"/>
      <c r="T1" s="529"/>
      <c r="U1" s="530"/>
      <c r="V1" s="531"/>
    </row>
    <row r="2" spans="1:32">
      <c r="A2" s="484"/>
      <c r="B2" s="532"/>
      <c r="C2" s="1674" t="s">
        <v>706</v>
      </c>
      <c r="D2" s="1675"/>
      <c r="E2" s="1675"/>
      <c r="F2" s="1675"/>
      <c r="G2" s="1675"/>
      <c r="H2" s="1676"/>
      <c r="I2" s="1606"/>
      <c r="J2" s="1606"/>
      <c r="K2" s="1606"/>
      <c r="L2" s="1606"/>
      <c r="M2" s="1606"/>
      <c r="N2" s="1606"/>
      <c r="O2" s="1606"/>
      <c r="P2" s="1606"/>
      <c r="Q2" s="1606"/>
      <c r="R2" s="1606"/>
      <c r="S2" s="1606"/>
      <c r="T2" s="1606"/>
      <c r="U2" s="533"/>
      <c r="V2" s="534"/>
    </row>
    <row r="3" spans="1:32">
      <c r="A3" s="484"/>
      <c r="B3" s="535"/>
      <c r="C3" s="1677" t="s">
        <v>2076</v>
      </c>
      <c r="D3" s="1678"/>
      <c r="E3" s="1678"/>
      <c r="F3" s="1678"/>
      <c r="G3" s="1678"/>
      <c r="H3" s="1679"/>
      <c r="I3" s="1607"/>
      <c r="J3" s="1607"/>
      <c r="K3" s="1607"/>
      <c r="L3" s="1607"/>
      <c r="M3" s="1607"/>
      <c r="N3" s="1607"/>
      <c r="O3" s="1607"/>
      <c r="P3" s="1607"/>
      <c r="Q3" s="1607"/>
      <c r="R3" s="1607"/>
      <c r="S3" s="1607"/>
      <c r="T3" s="1607"/>
      <c r="U3" s="536"/>
      <c r="V3" s="534"/>
    </row>
    <row r="4" spans="1:32">
      <c r="A4" s="484"/>
      <c r="C4" s="269"/>
      <c r="D4" s="335"/>
      <c r="E4" s="335"/>
      <c r="F4" s="342"/>
      <c r="G4" s="335"/>
      <c r="H4" s="537"/>
      <c r="I4" s="342"/>
      <c r="J4" s="342"/>
      <c r="K4" s="342"/>
      <c r="L4" s="342"/>
      <c r="M4" s="342"/>
      <c r="N4" s="342"/>
      <c r="O4" s="342"/>
      <c r="P4" s="342"/>
      <c r="Q4" s="342"/>
      <c r="R4" s="1610"/>
      <c r="S4" s="317"/>
      <c r="T4" s="538"/>
      <c r="U4" s="539"/>
      <c r="V4" s="534"/>
    </row>
    <row r="5" spans="1:32" s="1026" customFormat="1">
      <c r="A5" s="540"/>
      <c r="C5" s="265"/>
      <c r="D5" s="1603"/>
      <c r="E5" s="1603"/>
      <c r="F5" s="1191" t="s">
        <v>708</v>
      </c>
      <c r="G5" s="1603"/>
      <c r="H5" s="355" t="s">
        <v>708</v>
      </c>
      <c r="I5" s="1191"/>
      <c r="J5" s="1191"/>
      <c r="K5" s="1191"/>
      <c r="L5" s="1191"/>
      <c r="M5" s="1191"/>
      <c r="N5" s="1191"/>
      <c r="O5" s="1191"/>
      <c r="P5" s="1191"/>
      <c r="Q5" s="1191"/>
      <c r="R5" s="135"/>
      <c r="S5" s="357" t="s">
        <v>708</v>
      </c>
      <c r="T5" s="357"/>
      <c r="U5" s="541"/>
      <c r="V5" s="138"/>
      <c r="W5" s="163"/>
      <c r="X5" s="163"/>
      <c r="Y5" s="177"/>
      <c r="Z5" s="177"/>
      <c r="AA5" s="177"/>
      <c r="AB5" s="177"/>
      <c r="AC5" s="177"/>
      <c r="AD5" s="177"/>
      <c r="AE5" s="177"/>
      <c r="AF5" s="177"/>
    </row>
    <row r="6" spans="1:32" s="1026" customFormat="1">
      <c r="A6" s="540"/>
      <c r="C6" s="265"/>
      <c r="D6" s="1603"/>
      <c r="E6" s="1603"/>
      <c r="F6" s="140" t="s">
        <v>2077</v>
      </c>
      <c r="G6" s="1603"/>
      <c r="H6" s="264" t="s">
        <v>1796</v>
      </c>
      <c r="I6" s="1609"/>
      <c r="J6" s="1609"/>
      <c r="K6" s="1609"/>
      <c r="L6" s="1609"/>
      <c r="M6" s="1609"/>
      <c r="N6" s="1609"/>
      <c r="O6" s="1609"/>
      <c r="P6" s="1609"/>
      <c r="Q6" s="1609"/>
      <c r="R6" s="135"/>
      <c r="S6" s="1609" t="s">
        <v>1452</v>
      </c>
      <c r="T6" s="158"/>
      <c r="U6" s="140" t="s">
        <v>1036</v>
      </c>
      <c r="V6" s="138"/>
      <c r="W6" s="163"/>
      <c r="X6" s="163"/>
      <c r="Y6" s="177"/>
      <c r="Z6" s="177"/>
      <c r="AA6" s="177"/>
      <c r="AB6" s="177"/>
      <c r="AC6" s="177"/>
      <c r="AD6" s="177"/>
      <c r="AE6" s="177"/>
      <c r="AF6" s="177"/>
    </row>
    <row r="7" spans="1:32" s="1026" customFormat="1">
      <c r="A7" s="540"/>
      <c r="C7" s="265"/>
      <c r="D7" s="1603"/>
      <c r="E7" s="1603"/>
      <c r="F7" s="1191"/>
      <c r="G7" s="1603"/>
      <c r="H7" s="355"/>
      <c r="I7" s="1191"/>
      <c r="J7" s="1191"/>
      <c r="K7" s="1191"/>
      <c r="L7" s="1191"/>
      <c r="M7" s="1191"/>
      <c r="N7" s="1191"/>
      <c r="O7" s="1191"/>
      <c r="P7" s="1191"/>
      <c r="Q7" s="1191"/>
      <c r="R7" s="135"/>
      <c r="S7" s="1191" t="s">
        <v>1314</v>
      </c>
      <c r="T7" s="158"/>
      <c r="U7" s="491" t="s">
        <v>1314</v>
      </c>
      <c r="V7" s="138"/>
      <c r="W7" s="163"/>
      <c r="X7" s="163"/>
      <c r="Y7" s="177"/>
      <c r="Z7" s="177"/>
      <c r="AA7" s="177"/>
      <c r="AB7" s="177"/>
      <c r="AC7" s="177"/>
      <c r="AD7" s="177"/>
      <c r="AE7" s="177"/>
      <c r="AF7" s="177"/>
    </row>
    <row r="8" spans="1:32" s="1026" customFormat="1">
      <c r="A8" s="540"/>
      <c r="C8" s="265" t="s">
        <v>707</v>
      </c>
      <c r="D8" s="1603"/>
      <c r="E8" s="1603"/>
      <c r="F8" s="1191"/>
      <c r="G8" s="1603"/>
      <c r="H8" s="355"/>
      <c r="I8" s="1191"/>
      <c r="J8" s="1191"/>
      <c r="K8" s="1191"/>
      <c r="L8" s="1191"/>
      <c r="M8" s="1191"/>
      <c r="N8" s="1191"/>
      <c r="O8" s="1191"/>
      <c r="P8" s="1191"/>
      <c r="Q8" s="1191"/>
      <c r="R8" s="135"/>
      <c r="S8" s="1191"/>
      <c r="T8" s="158"/>
      <c r="U8" s="491"/>
      <c r="V8" s="138"/>
      <c r="W8" s="163"/>
      <c r="X8" s="163"/>
      <c r="Y8" s="177"/>
      <c r="Z8" s="177"/>
      <c r="AA8" s="177"/>
      <c r="AB8" s="177"/>
      <c r="AC8" s="177"/>
      <c r="AD8" s="177"/>
      <c r="AE8" s="177"/>
      <c r="AF8" s="177"/>
    </row>
    <row r="9" spans="1:32" s="1026" customFormat="1">
      <c r="A9" s="540"/>
      <c r="C9" s="265"/>
      <c r="D9" s="1603" t="s">
        <v>703</v>
      </c>
      <c r="E9" s="1603"/>
      <c r="F9" s="1191"/>
      <c r="G9" s="1603"/>
      <c r="H9" s="355"/>
      <c r="I9" s="1191"/>
      <c r="J9" s="1191"/>
      <c r="K9" s="1191"/>
      <c r="L9" s="1191"/>
      <c r="M9" s="1191"/>
      <c r="N9" s="1191"/>
      <c r="O9" s="1191"/>
      <c r="P9" s="1191"/>
      <c r="Q9" s="1191"/>
      <c r="R9" s="135"/>
      <c r="S9" s="136"/>
      <c r="T9" s="158"/>
      <c r="U9" s="542"/>
      <c r="V9" s="138"/>
      <c r="W9" s="163"/>
      <c r="X9" s="163"/>
      <c r="Y9" s="177" t="s">
        <v>2071</v>
      </c>
      <c r="Z9" s="177" t="s">
        <v>2072</v>
      </c>
      <c r="AA9" s="177"/>
      <c r="AB9" s="177"/>
      <c r="AC9" s="177"/>
      <c r="AD9" s="177"/>
      <c r="AE9" s="177"/>
      <c r="AF9" s="177"/>
    </row>
    <row r="10" spans="1:32">
      <c r="A10" s="484"/>
      <c r="C10" s="269" t="s">
        <v>709</v>
      </c>
      <c r="D10" s="335">
        <v>18</v>
      </c>
      <c r="E10" s="335"/>
      <c r="F10" s="358">
        <f>'Notes 18-39'!D16</f>
        <v>10452708.429999998</v>
      </c>
      <c r="G10" s="335"/>
      <c r="H10" s="343">
        <f>'Notes 18-39'!F16</f>
        <v>9457596</v>
      </c>
      <c r="I10" s="342"/>
      <c r="J10" s="342"/>
      <c r="K10" s="342"/>
      <c r="L10" s="342"/>
      <c r="M10" s="342"/>
      <c r="N10" s="342"/>
      <c r="O10" s="342"/>
      <c r="P10" s="342"/>
      <c r="Q10" s="342"/>
      <c r="R10" s="1610"/>
      <c r="S10" s="513" t="e">
        <f>'Notes 18-39'!Q16</f>
        <v>#REF!</v>
      </c>
      <c r="T10" s="538"/>
      <c r="U10" s="543" t="e">
        <f>'Notes 18-39'!U16</f>
        <v>#REF!</v>
      </c>
      <c r="V10" s="534"/>
      <c r="X10" s="219" t="e">
        <f t="shared" ref="X10:X22" si="0">H10-S10</f>
        <v>#REF!</v>
      </c>
      <c r="Y10" s="220">
        <v>9457596</v>
      </c>
      <c r="Z10" s="220">
        <f>H10-Y10</f>
        <v>0</v>
      </c>
    </row>
    <row r="11" spans="1:32" hidden="1">
      <c r="A11" s="484"/>
      <c r="C11" s="269" t="s">
        <v>710</v>
      </c>
      <c r="D11" s="335"/>
      <c r="E11" s="335"/>
      <c r="F11" s="359"/>
      <c r="G11" s="335"/>
      <c r="H11" s="351"/>
      <c r="I11" s="342"/>
      <c r="J11" s="342"/>
      <c r="K11" s="342"/>
      <c r="L11" s="342"/>
      <c r="M11" s="342"/>
      <c r="N11" s="342"/>
      <c r="O11" s="342"/>
      <c r="P11" s="342"/>
      <c r="Q11" s="342"/>
      <c r="R11" s="1610"/>
      <c r="S11" s="513"/>
      <c r="T11" s="538"/>
      <c r="U11" s="215"/>
      <c r="V11" s="534"/>
      <c r="X11" s="219">
        <f t="shared" si="0"/>
        <v>0</v>
      </c>
    </row>
    <row r="12" spans="1:32">
      <c r="A12" s="484"/>
      <c r="C12" s="406" t="s">
        <v>711</v>
      </c>
      <c r="D12" s="335">
        <v>19</v>
      </c>
      <c r="E12" s="335"/>
      <c r="F12" s="359">
        <f>'Notes 18-39'!D46</f>
        <v>53696905.700000003</v>
      </c>
      <c r="G12" s="335"/>
      <c r="H12" s="351">
        <f>'Notes 18-39'!F46</f>
        <v>40994741.689999998</v>
      </c>
      <c r="I12" s="342"/>
      <c r="J12" s="342"/>
      <c r="K12" s="342"/>
      <c r="L12" s="342"/>
      <c r="M12" s="342"/>
      <c r="N12" s="342"/>
      <c r="O12" s="342"/>
      <c r="P12" s="342"/>
      <c r="Q12" s="342"/>
      <c r="R12" s="1610"/>
      <c r="S12" s="513" t="e">
        <f>'Notes 18-39'!Q46</f>
        <v>#REF!</v>
      </c>
      <c r="T12" s="538"/>
      <c r="U12" s="215" t="e">
        <f>'Notes 18-39'!U46</f>
        <v>#REF!</v>
      </c>
      <c r="V12" s="534"/>
      <c r="X12" s="219" t="e">
        <f t="shared" si="0"/>
        <v>#REF!</v>
      </c>
      <c r="Y12" s="220">
        <v>40362883</v>
      </c>
      <c r="Z12" s="220">
        <f t="shared" ref="Z12:Z41" si="1">H12-Y12</f>
        <v>631858.68999999762</v>
      </c>
      <c r="AA12" s="122"/>
      <c r="AB12" s="122"/>
    </row>
    <row r="13" spans="1:32">
      <c r="A13" s="484"/>
      <c r="C13" s="406" t="s">
        <v>1724</v>
      </c>
      <c r="D13" s="335">
        <v>19</v>
      </c>
      <c r="E13" s="335"/>
      <c r="F13" s="359">
        <f>'Notes 18-39'!D47</f>
        <v>943941.6399999999</v>
      </c>
      <c r="G13" s="335"/>
      <c r="H13" s="351">
        <f>'Notes 18-39'!F47</f>
        <v>754842.32000000007</v>
      </c>
      <c r="I13" s="342"/>
      <c r="J13" s="342"/>
      <c r="K13" s="342"/>
      <c r="L13" s="342"/>
      <c r="M13" s="342"/>
      <c r="N13" s="342"/>
      <c r="O13" s="342"/>
      <c r="P13" s="342"/>
      <c r="Q13" s="342"/>
      <c r="R13" s="1610"/>
      <c r="S13" s="513">
        <f>'Notes 18-39'!Q47</f>
        <v>231262.92</v>
      </c>
      <c r="T13" s="538"/>
      <c r="U13" s="215"/>
      <c r="V13" s="534"/>
      <c r="X13" s="219">
        <f t="shared" si="0"/>
        <v>523579.4</v>
      </c>
      <c r="Y13" s="220">
        <v>695617</v>
      </c>
      <c r="Z13" s="220">
        <f t="shared" si="1"/>
        <v>59225.320000000065</v>
      </c>
      <c r="AA13" s="123"/>
      <c r="AB13" s="123"/>
    </row>
    <row r="14" spans="1:32">
      <c r="A14" s="484"/>
      <c r="C14" s="406" t="s">
        <v>712</v>
      </c>
      <c r="D14" s="335">
        <v>19</v>
      </c>
      <c r="E14" s="335"/>
      <c r="F14" s="359">
        <f>'Notes 18-39'!D48</f>
        <v>6029938.0300000003</v>
      </c>
      <c r="G14" s="335"/>
      <c r="H14" s="351">
        <f>'Notes 18-39'!F48</f>
        <v>5016917.6399999997</v>
      </c>
      <c r="I14" s="342"/>
      <c r="J14" s="342"/>
      <c r="K14" s="342"/>
      <c r="L14" s="342"/>
      <c r="M14" s="342"/>
      <c r="N14" s="342"/>
      <c r="O14" s="342"/>
      <c r="P14" s="342"/>
      <c r="Q14" s="342"/>
      <c r="R14" s="1610"/>
      <c r="S14" s="513" t="e">
        <f>'Notes 18-39'!Q48</f>
        <v>#REF!</v>
      </c>
      <c r="T14" s="538"/>
      <c r="U14" s="215" t="e">
        <f>'Notes 18-39'!U48</f>
        <v>#REF!</v>
      </c>
      <c r="V14" s="534"/>
      <c r="X14" s="219" t="e">
        <f t="shared" si="0"/>
        <v>#REF!</v>
      </c>
      <c r="Y14" s="220">
        <v>5016918</v>
      </c>
      <c r="Z14" s="220">
        <f t="shared" si="1"/>
        <v>-0.36000000033527613</v>
      </c>
      <c r="AA14" s="512"/>
      <c r="AB14" s="512"/>
    </row>
    <row r="15" spans="1:32">
      <c r="A15" s="484"/>
      <c r="C15" s="269" t="s">
        <v>715</v>
      </c>
      <c r="D15" s="335">
        <v>20</v>
      </c>
      <c r="E15" s="335"/>
      <c r="F15" s="215">
        <f>'Notes 18-39'!D59</f>
        <v>995265.42</v>
      </c>
      <c r="G15" s="335"/>
      <c r="H15" s="544">
        <f>'Notes 18-39'!F59</f>
        <v>226442.71</v>
      </c>
      <c r="I15" s="513"/>
      <c r="J15" s="513"/>
      <c r="K15" s="513"/>
      <c r="L15" s="513"/>
      <c r="M15" s="513"/>
      <c r="N15" s="513"/>
      <c r="O15" s="513"/>
      <c r="P15" s="513"/>
      <c r="Q15" s="513"/>
      <c r="R15" s="1610"/>
      <c r="S15" s="513" t="e">
        <f>-SUM('TRAIL BALANCE'!#REF!+'TRAIL BALANCE'!#REF!+'TRAIL BALANCE'!#REF!)</f>
        <v>#REF!</v>
      </c>
      <c r="T15" s="538"/>
      <c r="U15" s="215" t="e">
        <f>-SUM('TRAIL BALANCE'!#REF!+'TRAIL BALANCE'!#REF!+'TRAIL BALANCE'!#REF!)</f>
        <v>#REF!</v>
      </c>
      <c r="V15" s="534"/>
      <c r="X15" s="219" t="e">
        <f t="shared" si="0"/>
        <v>#REF!</v>
      </c>
      <c r="Y15" s="220">
        <v>226443</v>
      </c>
      <c r="Z15" s="220">
        <f t="shared" si="1"/>
        <v>-0.29000000000814907</v>
      </c>
      <c r="AA15" s="512"/>
      <c r="AB15" s="512"/>
    </row>
    <row r="16" spans="1:32">
      <c r="A16" s="484"/>
      <c r="C16" s="269" t="s">
        <v>718</v>
      </c>
      <c r="D16" s="335"/>
      <c r="E16" s="335"/>
      <c r="F16" s="215">
        <f>-SUM('TRAIL BALANCE'!F521)-'TRAIL BALANCE'!F435</f>
        <v>1434842.65</v>
      </c>
      <c r="G16" s="335"/>
      <c r="H16" s="544">
        <f>-SUM('TRAIL BALANCE'!E521)</f>
        <v>444496</v>
      </c>
      <c r="I16" s="513"/>
      <c r="J16" s="513"/>
      <c r="K16" s="513"/>
      <c r="L16" s="513"/>
      <c r="M16" s="513"/>
      <c r="N16" s="513"/>
      <c r="O16" s="513"/>
      <c r="P16" s="513"/>
      <c r="Q16" s="513"/>
      <c r="R16" s="1610"/>
      <c r="S16" s="513" t="e">
        <f>-SUM('TRAIL BALANCE'!#REF!)</f>
        <v>#REF!</v>
      </c>
      <c r="T16" s="538"/>
      <c r="U16" s="215" t="e">
        <f>-SUM('TRAIL BALANCE'!#REF!)</f>
        <v>#REF!</v>
      </c>
      <c r="V16" s="534"/>
      <c r="X16" s="219" t="e">
        <f t="shared" si="0"/>
        <v>#REF!</v>
      </c>
      <c r="Y16" s="220">
        <v>444496</v>
      </c>
      <c r="Z16" s="220">
        <f t="shared" si="1"/>
        <v>0</v>
      </c>
      <c r="AA16" s="335"/>
      <c r="AB16" s="513"/>
    </row>
    <row r="17" spans="1:32">
      <c r="A17" s="484"/>
      <c r="C17" s="269" t="s">
        <v>719</v>
      </c>
      <c r="D17" s="335"/>
      <c r="E17" s="335"/>
      <c r="F17" s="215">
        <f>-SUM('TRAIL BALANCE'!F520)</f>
        <v>2361495.7999999998</v>
      </c>
      <c r="G17" s="335"/>
      <c r="H17" s="544">
        <f>-SUM('TRAIL BALANCE'!E520)</f>
        <v>2343576.65</v>
      </c>
      <c r="I17" s="513"/>
      <c r="J17" s="513"/>
      <c r="K17" s="513"/>
      <c r="L17" s="513"/>
      <c r="M17" s="513"/>
      <c r="N17" s="513"/>
      <c r="O17" s="513"/>
      <c r="P17" s="513"/>
      <c r="Q17" s="513"/>
      <c r="R17" s="1610"/>
      <c r="S17" s="513" t="e">
        <f>-SUM('TRAIL BALANCE'!#REF!)</f>
        <v>#REF!</v>
      </c>
      <c r="T17" s="538"/>
      <c r="U17" s="215" t="e">
        <f>-SUM('TRAIL BALANCE'!#REF!)</f>
        <v>#REF!</v>
      </c>
      <c r="V17" s="534"/>
      <c r="X17" s="219" t="e">
        <f t="shared" si="0"/>
        <v>#REF!</v>
      </c>
      <c r="Y17" s="220">
        <v>2343577</v>
      </c>
      <c r="Z17" s="220">
        <f t="shared" si="1"/>
        <v>-0.35000000009313226</v>
      </c>
      <c r="AA17" s="363"/>
      <c r="AB17" s="363"/>
    </row>
    <row r="18" spans="1:32">
      <c r="A18" s="484"/>
      <c r="C18" s="269" t="s">
        <v>1939</v>
      </c>
      <c r="D18" s="335">
        <v>9</v>
      </c>
      <c r="E18" s="335"/>
      <c r="F18" s="359">
        <f>-'TRAIL BALANCE'!F378</f>
        <v>2921572.99</v>
      </c>
      <c r="G18" s="335"/>
      <c r="H18" s="351">
        <f>-'TRAIL BALANCE'!E379</f>
        <v>50276</v>
      </c>
      <c r="I18" s="342"/>
      <c r="J18" s="342"/>
      <c r="K18" s="342"/>
      <c r="L18" s="342"/>
      <c r="M18" s="342"/>
      <c r="N18" s="342"/>
      <c r="O18" s="342"/>
      <c r="P18" s="342"/>
      <c r="Q18" s="342"/>
      <c r="R18" s="1610"/>
      <c r="S18" s="513" t="e">
        <f>-'TRAIL BALANCE'!#REF!</f>
        <v>#REF!</v>
      </c>
      <c r="T18" s="538"/>
      <c r="U18" s="215"/>
      <c r="V18" s="534"/>
      <c r="W18" s="219">
        <v>0</v>
      </c>
      <c r="X18" s="219" t="e">
        <f t="shared" si="0"/>
        <v>#REF!</v>
      </c>
      <c r="Y18" s="220">
        <v>5496263</v>
      </c>
      <c r="Z18" s="220">
        <f t="shared" si="1"/>
        <v>-5445987</v>
      </c>
      <c r="AA18" s="363"/>
      <c r="AB18" s="363"/>
    </row>
    <row r="19" spans="1:32">
      <c r="A19" s="484"/>
      <c r="C19" s="269" t="s">
        <v>720</v>
      </c>
      <c r="D19" s="335">
        <v>21</v>
      </c>
      <c r="E19" s="335"/>
      <c r="F19" s="215">
        <f>'Notes 18-39'!D68+'Notes 18-39'!D70+'Notes 18-39'!D72</f>
        <v>27795257</v>
      </c>
      <c r="G19" s="335"/>
      <c r="H19" s="544">
        <f>'Notes 18-39'!F66+'Notes 18-39'!F135</f>
        <v>23424329.829999998</v>
      </c>
      <c r="I19" s="513"/>
      <c r="J19" s="513"/>
      <c r="K19" s="513"/>
      <c r="L19" s="513"/>
      <c r="M19" s="513"/>
      <c r="N19" s="513"/>
      <c r="O19" s="513"/>
      <c r="P19" s="513"/>
      <c r="Q19" s="513"/>
      <c r="R19" s="1610"/>
      <c r="S19" s="513" t="e">
        <f>'Notes 18-39'!Q66</f>
        <v>#REF!</v>
      </c>
      <c r="T19" s="538"/>
      <c r="U19" s="215" t="e">
        <f>'Notes 18-39'!U66</f>
        <v>#REF!</v>
      </c>
      <c r="V19" s="534"/>
      <c r="X19" s="219" t="e">
        <f t="shared" si="0"/>
        <v>#REF!</v>
      </c>
      <c r="Y19" s="220">
        <v>23424330</v>
      </c>
      <c r="Z19" s="220">
        <f t="shared" si="1"/>
        <v>-0.17000000178813934</v>
      </c>
      <c r="AA19" s="363"/>
      <c r="AB19" s="363"/>
    </row>
    <row r="20" spans="1:32">
      <c r="A20" s="484"/>
      <c r="C20" s="269" t="s">
        <v>721</v>
      </c>
      <c r="D20" s="335">
        <v>21</v>
      </c>
      <c r="E20" s="335"/>
      <c r="F20" s="215">
        <f>-'Notes 18-39'!D110</f>
        <v>8552027.7699999996</v>
      </c>
      <c r="G20" s="335"/>
      <c r="H20" s="544">
        <f>'Notes 18-39'!F75</f>
        <v>7902795.96</v>
      </c>
      <c r="I20" s="513"/>
      <c r="J20" s="513"/>
      <c r="K20" s="513"/>
      <c r="L20" s="513"/>
      <c r="M20" s="513"/>
      <c r="N20" s="513"/>
      <c r="O20" s="513"/>
      <c r="P20" s="513"/>
      <c r="Q20" s="513"/>
      <c r="R20" s="1610"/>
      <c r="S20" s="513" t="e">
        <f>'Notes 18-39'!Q75</f>
        <v>#REF!</v>
      </c>
      <c r="T20" s="538"/>
      <c r="U20" s="215" t="e">
        <f>'Notes 18-39'!U75</f>
        <v>#REF!</v>
      </c>
      <c r="V20" s="534"/>
      <c r="X20" s="219" t="e">
        <f t="shared" si="0"/>
        <v>#REF!</v>
      </c>
      <c r="Y20" s="220">
        <v>5905737</v>
      </c>
      <c r="Z20" s="220">
        <f t="shared" si="1"/>
        <v>1997058.96</v>
      </c>
      <c r="AA20" s="363"/>
      <c r="AB20" s="363"/>
    </row>
    <row r="21" spans="1:32">
      <c r="A21" s="484"/>
      <c r="C21" s="269" t="s">
        <v>723</v>
      </c>
      <c r="D21" s="335">
        <v>22</v>
      </c>
      <c r="E21" s="335"/>
      <c r="F21" s="215">
        <f>'Notes 18-39'!D160</f>
        <v>14208326.18</v>
      </c>
      <c r="G21" s="335"/>
      <c r="H21" s="544">
        <f>'Notes 18-39'!F160</f>
        <v>1044952.6799999998</v>
      </c>
      <c r="I21" s="513"/>
      <c r="J21" s="513"/>
      <c r="K21" s="513"/>
      <c r="L21" s="513"/>
      <c r="M21" s="513"/>
      <c r="N21" s="513"/>
      <c r="O21" s="513"/>
      <c r="P21" s="513"/>
      <c r="Q21" s="513"/>
      <c r="R21" s="1610"/>
      <c r="S21" s="513" t="e">
        <f>'Notes 18-39'!#REF!</f>
        <v>#REF!</v>
      </c>
      <c r="T21" s="538"/>
      <c r="U21" s="215" t="e">
        <f>'Notes 18-39'!#REF!</f>
        <v>#REF!</v>
      </c>
      <c r="V21" s="534"/>
      <c r="X21" s="219" t="e">
        <f t="shared" si="0"/>
        <v>#REF!</v>
      </c>
      <c r="Y21" s="220">
        <v>1044953</v>
      </c>
      <c r="Z21" s="220">
        <f t="shared" si="1"/>
        <v>-0.3200000001816079</v>
      </c>
    </row>
    <row r="22" spans="1:32">
      <c r="A22" s="484"/>
      <c r="C22" s="269" t="s">
        <v>1733</v>
      </c>
      <c r="D22" s="335"/>
      <c r="E22" s="335"/>
      <c r="F22" s="1566">
        <f>-'TRAIL BALANCE'!F416</f>
        <v>158500</v>
      </c>
      <c r="G22" s="335"/>
      <c r="H22" s="348">
        <f>-'TRAIL BALANCE'!E416</f>
        <v>783000</v>
      </c>
      <c r="I22" s="342"/>
      <c r="J22" s="342"/>
      <c r="K22" s="342"/>
      <c r="L22" s="342"/>
      <c r="M22" s="342"/>
      <c r="N22" s="342"/>
      <c r="O22" s="342"/>
      <c r="P22" s="342"/>
      <c r="Q22" s="342"/>
      <c r="R22" s="1610"/>
      <c r="S22" s="513" t="e">
        <f>-'TRAIL BALANCE'!#REF!</f>
        <v>#REF!</v>
      </c>
      <c r="T22" s="538"/>
      <c r="U22" s="545">
        <v>0</v>
      </c>
      <c r="V22" s="534"/>
      <c r="X22" s="219" t="e">
        <f t="shared" si="0"/>
        <v>#REF!</v>
      </c>
      <c r="Y22" s="220">
        <v>783000</v>
      </c>
      <c r="Z22" s="220">
        <f t="shared" si="1"/>
        <v>0</v>
      </c>
    </row>
    <row r="23" spans="1:32" s="1026" customFormat="1">
      <c r="A23" s="540"/>
      <c r="C23" s="265" t="s">
        <v>1875</v>
      </c>
      <c r="D23" s="1603"/>
      <c r="E23" s="1603"/>
      <c r="F23" s="459">
        <f>SUM(F10:F22)</f>
        <v>129550781.60999998</v>
      </c>
      <c r="G23" s="1603"/>
      <c r="H23" s="546">
        <f>SUM(H10:H22)</f>
        <v>92443967.480000004</v>
      </c>
      <c r="I23" s="149"/>
      <c r="J23" s="149"/>
      <c r="K23" s="149"/>
      <c r="L23" s="149"/>
      <c r="M23" s="149"/>
      <c r="N23" s="149"/>
      <c r="O23" s="149"/>
      <c r="P23" s="149"/>
      <c r="Q23" s="149"/>
      <c r="R23" s="135"/>
      <c r="S23" s="149" t="e">
        <f>SUM(S10:S22)</f>
        <v>#REF!</v>
      </c>
      <c r="T23" s="547"/>
      <c r="U23" s="459" t="e">
        <f>SUM(U10:U22)</f>
        <v>#REF!</v>
      </c>
      <c r="V23" s="138"/>
      <c r="W23" s="219"/>
      <c r="X23" s="219">
        <v>0</v>
      </c>
      <c r="Y23" s="198">
        <f>SUM(Y10:Y22)</f>
        <v>95201813</v>
      </c>
      <c r="Z23" s="220">
        <f t="shared" si="1"/>
        <v>-2757845.5199999958</v>
      </c>
      <c r="AA23" s="177"/>
      <c r="AB23" s="177"/>
      <c r="AC23" s="177"/>
      <c r="AD23" s="177"/>
      <c r="AE23" s="177"/>
      <c r="AF23" s="177"/>
    </row>
    <row r="24" spans="1:32" s="1026" customFormat="1">
      <c r="A24" s="540"/>
      <c r="C24" s="265"/>
      <c r="D24" s="1603"/>
      <c r="E24" s="1603"/>
      <c r="F24" s="1191"/>
      <c r="G24" s="1603"/>
      <c r="H24" s="548"/>
      <c r="I24" s="149"/>
      <c r="J24" s="149"/>
      <c r="K24" s="149"/>
      <c r="L24" s="149"/>
      <c r="M24" s="149"/>
      <c r="N24" s="149"/>
      <c r="O24" s="149"/>
      <c r="P24" s="149"/>
      <c r="Q24" s="149"/>
      <c r="R24" s="135"/>
      <c r="S24" s="149"/>
      <c r="T24" s="547"/>
      <c r="U24" s="196"/>
      <c r="V24" s="138"/>
      <c r="W24" s="219"/>
      <c r="X24" s="219">
        <v>0</v>
      </c>
      <c r="Y24" s="220"/>
      <c r="Z24" s="220">
        <f t="shared" si="1"/>
        <v>0</v>
      </c>
      <c r="AA24" s="177"/>
      <c r="AB24" s="177"/>
      <c r="AC24" s="177"/>
      <c r="AD24" s="177"/>
      <c r="AE24" s="177"/>
      <c r="AF24" s="177"/>
    </row>
    <row r="25" spans="1:32" s="1026" customFormat="1">
      <c r="A25" s="540"/>
      <c r="C25" s="265" t="s">
        <v>1876</v>
      </c>
      <c r="D25" s="1603"/>
      <c r="E25" s="1603"/>
      <c r="F25" s="1191"/>
      <c r="G25" s="1603"/>
      <c r="H25" s="548"/>
      <c r="I25" s="149"/>
      <c r="J25" s="149"/>
      <c r="K25" s="149"/>
      <c r="L25" s="149"/>
      <c r="M25" s="149"/>
      <c r="N25" s="149"/>
      <c r="O25" s="149"/>
      <c r="P25" s="149"/>
      <c r="Q25" s="149"/>
      <c r="R25" s="135"/>
      <c r="S25" s="149"/>
      <c r="T25" s="547"/>
      <c r="U25" s="196"/>
      <c r="V25" s="138"/>
      <c r="W25" s="219"/>
      <c r="X25" s="219"/>
      <c r="Y25" s="220"/>
      <c r="Z25" s="220">
        <f t="shared" si="1"/>
        <v>0</v>
      </c>
      <c r="AA25" s="177"/>
      <c r="AB25" s="177"/>
      <c r="AC25" s="177"/>
      <c r="AD25" s="177"/>
      <c r="AE25" s="177"/>
      <c r="AF25" s="177"/>
    </row>
    <row r="26" spans="1:32" s="1026" customFormat="1">
      <c r="A26" s="540"/>
      <c r="C26" s="269" t="s">
        <v>1335</v>
      </c>
      <c r="D26" s="335">
        <v>23</v>
      </c>
      <c r="E26" s="335"/>
      <c r="F26" s="543">
        <f>'Notes 18-39'!D188</f>
        <v>169601.97999999998</v>
      </c>
      <c r="G26" s="1603"/>
      <c r="H26" s="549">
        <f>'Notes 18-39'!F188</f>
        <v>67228</v>
      </c>
      <c r="I26" s="513"/>
      <c r="J26" s="513"/>
      <c r="K26" s="513"/>
      <c r="L26" s="513"/>
      <c r="M26" s="513"/>
      <c r="N26" s="513"/>
      <c r="O26" s="513"/>
      <c r="P26" s="513"/>
      <c r="Q26" s="513"/>
      <c r="R26" s="135"/>
      <c r="S26" s="513" t="e">
        <f>'Notes 18-39'!Q186</f>
        <v>#REF!</v>
      </c>
      <c r="T26" s="547"/>
      <c r="U26" s="543" t="e">
        <f>'Notes 18-39'!U186</f>
        <v>#REF!</v>
      </c>
      <c r="V26" s="138"/>
      <c r="W26" s="219"/>
      <c r="X26" s="219" t="e">
        <f>H26-S26</f>
        <v>#REF!</v>
      </c>
      <c r="Y26" s="220">
        <v>67228</v>
      </c>
      <c r="Z26" s="220">
        <f t="shared" si="1"/>
        <v>0</v>
      </c>
      <c r="AA26" s="177"/>
      <c r="AB26" s="177"/>
      <c r="AC26" s="177"/>
      <c r="AD26" s="177"/>
      <c r="AE26" s="177"/>
      <c r="AF26" s="177"/>
    </row>
    <row r="27" spans="1:32" s="1026" customFormat="1">
      <c r="A27" s="540"/>
      <c r="C27" s="269" t="s">
        <v>717</v>
      </c>
      <c r="D27" s="335">
        <v>24</v>
      </c>
      <c r="E27" s="335"/>
      <c r="F27" s="545">
        <f>'Notes 18-39'!D199</f>
        <v>1447504.56</v>
      </c>
      <c r="G27" s="1603"/>
      <c r="H27" s="550">
        <f>'Notes 18-39'!F199</f>
        <v>799677.8</v>
      </c>
      <c r="I27" s="513"/>
      <c r="J27" s="513"/>
      <c r="K27" s="513"/>
      <c r="L27" s="513"/>
      <c r="M27" s="513"/>
      <c r="N27" s="513"/>
      <c r="O27" s="513"/>
      <c r="P27" s="513"/>
      <c r="Q27" s="513"/>
      <c r="R27" s="135"/>
      <c r="S27" s="513" t="e">
        <f>'Notes 18-39'!Q196</f>
        <v>#REF!</v>
      </c>
      <c r="T27" s="547"/>
      <c r="U27" s="545" t="e">
        <f>'Notes 18-39'!U196</f>
        <v>#REF!</v>
      </c>
      <c r="V27" s="138"/>
      <c r="W27" s="219"/>
      <c r="X27" s="219" t="e">
        <f>H27-S27</f>
        <v>#REF!</v>
      </c>
      <c r="Y27" s="220">
        <v>799678</v>
      </c>
      <c r="Z27" s="220">
        <f t="shared" si="1"/>
        <v>-0.19999999995343387</v>
      </c>
      <c r="AA27" s="177"/>
      <c r="AB27" s="177"/>
      <c r="AC27" s="177"/>
      <c r="AD27" s="177"/>
      <c r="AE27" s="177"/>
      <c r="AF27" s="177"/>
    </row>
    <row r="28" spans="1:32" s="1026" customFormat="1">
      <c r="A28" s="540"/>
      <c r="C28" s="269"/>
      <c r="D28" s="335"/>
      <c r="E28" s="335"/>
      <c r="F28" s="342"/>
      <c r="G28" s="1603"/>
      <c r="H28" s="551"/>
      <c r="I28" s="149"/>
      <c r="J28" s="149"/>
      <c r="K28" s="149"/>
      <c r="L28" s="149"/>
      <c r="M28" s="149"/>
      <c r="N28" s="149"/>
      <c r="O28" s="149"/>
      <c r="P28" s="149"/>
      <c r="Q28" s="149"/>
      <c r="R28" s="135"/>
      <c r="S28" s="149"/>
      <c r="T28" s="547"/>
      <c r="U28" s="196"/>
      <c r="V28" s="138"/>
      <c r="W28" s="219"/>
      <c r="X28" s="219"/>
      <c r="Y28" s="220"/>
      <c r="Z28" s="220">
        <f t="shared" si="1"/>
        <v>0</v>
      </c>
      <c r="AA28" s="177"/>
      <c r="AB28" s="177"/>
      <c r="AC28" s="177"/>
      <c r="AD28" s="177"/>
      <c r="AE28" s="177"/>
      <c r="AF28" s="177"/>
    </row>
    <row r="29" spans="1:32" s="1026" customFormat="1" ht="13.5" thickBot="1">
      <c r="A29" s="540"/>
      <c r="C29" s="265" t="s">
        <v>1877</v>
      </c>
      <c r="D29" s="335"/>
      <c r="E29" s="335"/>
      <c r="F29" s="200">
        <f>SUM(F23:F28)</f>
        <v>131167888.14999999</v>
      </c>
      <c r="G29" s="1603"/>
      <c r="H29" s="552">
        <f>SUM(H23:H28)</f>
        <v>93310873.280000001</v>
      </c>
      <c r="I29" s="149"/>
      <c r="J29" s="149"/>
      <c r="K29" s="149"/>
      <c r="L29" s="149"/>
      <c r="M29" s="149"/>
      <c r="N29" s="149"/>
      <c r="O29" s="149"/>
      <c r="P29" s="149"/>
      <c r="Q29" s="149"/>
      <c r="R29" s="135"/>
      <c r="S29" s="149" t="e">
        <f>SUM(S23:S28)</f>
        <v>#REF!</v>
      </c>
      <c r="T29" s="547"/>
      <c r="U29" s="553" t="e">
        <f>SUM(U23:U28)</f>
        <v>#REF!</v>
      </c>
      <c r="V29" s="138"/>
      <c r="W29" s="219"/>
      <c r="X29" s="219"/>
      <c r="Y29" s="285">
        <f>SUM(Y23:Y28)</f>
        <v>96068719</v>
      </c>
      <c r="Z29" s="220">
        <f t="shared" si="1"/>
        <v>-2757845.7199999988</v>
      </c>
      <c r="AA29" s="177"/>
      <c r="AB29" s="177"/>
      <c r="AC29" s="177"/>
      <c r="AD29" s="177"/>
      <c r="AE29" s="177"/>
      <c r="AF29" s="177"/>
    </row>
    <row r="30" spans="1:32" s="1026" customFormat="1" ht="13.5" thickTop="1">
      <c r="A30" s="540"/>
      <c r="C30" s="265"/>
      <c r="D30" s="1603"/>
      <c r="E30" s="1603"/>
      <c r="F30" s="1191"/>
      <c r="G30" s="1603"/>
      <c r="H30" s="548"/>
      <c r="I30" s="149"/>
      <c r="J30" s="149"/>
      <c r="K30" s="149"/>
      <c r="L30" s="149"/>
      <c r="M30" s="149"/>
      <c r="N30" s="149"/>
      <c r="O30" s="149"/>
      <c r="P30" s="149"/>
      <c r="Q30" s="149"/>
      <c r="R30" s="135"/>
      <c r="S30" s="149"/>
      <c r="T30" s="547"/>
      <c r="U30" s="196"/>
      <c r="V30" s="138"/>
      <c r="W30" s="219"/>
      <c r="X30" s="219"/>
      <c r="Y30" s="220"/>
      <c r="Z30" s="220">
        <f t="shared" si="1"/>
        <v>0</v>
      </c>
      <c r="AA30" s="177"/>
      <c r="AB30" s="177"/>
      <c r="AC30" s="177"/>
      <c r="AD30" s="177"/>
      <c r="AE30" s="177"/>
      <c r="AF30" s="177"/>
    </row>
    <row r="31" spans="1:32">
      <c r="A31" s="484"/>
      <c r="C31" s="265"/>
      <c r="D31" s="335"/>
      <c r="E31" s="335"/>
      <c r="F31" s="342"/>
      <c r="G31" s="335"/>
      <c r="H31" s="537"/>
      <c r="I31" s="342"/>
      <c r="J31" s="342"/>
      <c r="K31" s="342"/>
      <c r="L31" s="342"/>
      <c r="M31" s="342"/>
      <c r="N31" s="342"/>
      <c r="O31" s="342"/>
      <c r="P31" s="342"/>
      <c r="Q31" s="342"/>
      <c r="R31" s="1610"/>
      <c r="S31" s="156"/>
      <c r="T31" s="538"/>
      <c r="U31" s="157"/>
      <c r="V31" s="534"/>
      <c r="Z31" s="220">
        <f t="shared" si="1"/>
        <v>0</v>
      </c>
    </row>
    <row r="32" spans="1:32">
      <c r="A32" s="484"/>
      <c r="C32" s="554" t="s">
        <v>725</v>
      </c>
      <c r="D32" s="335"/>
      <c r="E32" s="335"/>
      <c r="F32" s="342"/>
      <c r="G32" s="335"/>
      <c r="H32" s="537"/>
      <c r="I32" s="342"/>
      <c r="J32" s="342"/>
      <c r="K32" s="342"/>
      <c r="L32" s="342"/>
      <c r="M32" s="342"/>
      <c r="N32" s="342"/>
      <c r="O32" s="342"/>
      <c r="P32" s="342"/>
      <c r="Q32" s="342"/>
      <c r="R32" s="1610"/>
      <c r="S32" s="325"/>
      <c r="T32" s="538"/>
      <c r="U32" s="555"/>
      <c r="V32" s="534"/>
      <c r="Z32" s="220">
        <f t="shared" si="1"/>
        <v>0</v>
      </c>
    </row>
    <row r="33" spans="1:28">
      <c r="A33" s="484"/>
      <c r="C33" s="269"/>
      <c r="D33" s="335"/>
      <c r="E33" s="335"/>
      <c r="F33" s="342"/>
      <c r="G33" s="335"/>
      <c r="H33" s="537"/>
      <c r="I33" s="342"/>
      <c r="J33" s="342"/>
      <c r="K33" s="342"/>
      <c r="L33" s="342"/>
      <c r="M33" s="342"/>
      <c r="N33" s="342"/>
      <c r="O33" s="342"/>
      <c r="P33" s="342"/>
      <c r="Q33" s="342"/>
      <c r="R33" s="1610"/>
      <c r="S33" s="317"/>
      <c r="T33" s="538"/>
      <c r="U33" s="539"/>
      <c r="V33" s="534"/>
      <c r="Z33" s="220">
        <f t="shared" si="1"/>
        <v>0</v>
      </c>
    </row>
    <row r="34" spans="1:28">
      <c r="A34" s="484"/>
      <c r="C34" s="269" t="s">
        <v>524</v>
      </c>
      <c r="D34" s="335">
        <v>25</v>
      </c>
      <c r="E34" s="335"/>
      <c r="F34" s="543">
        <f>'Notes 18-39'!D227</f>
        <v>32475978.98</v>
      </c>
      <c r="G34" s="335"/>
      <c r="H34" s="549">
        <f>'Notes 18-39'!F227</f>
        <v>25481359.830000002</v>
      </c>
      <c r="I34" s="513"/>
      <c r="J34" s="513"/>
      <c r="K34" s="513"/>
      <c r="L34" s="513"/>
      <c r="M34" s="513"/>
      <c r="N34" s="513"/>
      <c r="O34" s="513"/>
      <c r="P34" s="513"/>
      <c r="Q34" s="513"/>
      <c r="R34" s="1610"/>
      <c r="S34" s="513" t="e">
        <f>'Notes 18-39'!Q227</f>
        <v>#REF!</v>
      </c>
      <c r="T34" s="538"/>
      <c r="U34" s="543" t="e">
        <f>'Notes 18-39'!U227</f>
        <v>#REF!</v>
      </c>
      <c r="V34" s="534"/>
      <c r="W34" s="219" t="s">
        <v>36</v>
      </c>
      <c r="X34" s="219" t="e">
        <f t="shared" ref="X34:X48" si="2">H34-S34</f>
        <v>#REF!</v>
      </c>
      <c r="Y34" s="220">
        <v>25481360</v>
      </c>
      <c r="Z34" s="220">
        <f t="shared" si="1"/>
        <v>-0.16999999806284904</v>
      </c>
    </row>
    <row r="35" spans="1:28">
      <c r="A35" s="484"/>
      <c r="C35" s="269" t="s">
        <v>726</v>
      </c>
      <c r="D35" s="335">
        <v>26</v>
      </c>
      <c r="E35" s="335"/>
      <c r="F35" s="359">
        <f>'Notes 18-39'!D285</f>
        <v>2975719.25</v>
      </c>
      <c r="G35" s="335"/>
      <c r="H35" s="351">
        <f>'Notes 18-39'!F285</f>
        <v>2938625.4499999997</v>
      </c>
      <c r="I35" s="342"/>
      <c r="J35" s="342"/>
      <c r="K35" s="342"/>
      <c r="L35" s="342"/>
      <c r="M35" s="342"/>
      <c r="N35" s="342"/>
      <c r="O35" s="342"/>
      <c r="P35" s="342"/>
      <c r="Q35" s="342"/>
      <c r="R35" s="1610"/>
      <c r="S35" s="513" t="e">
        <f>'Notes 18-39'!Q285</f>
        <v>#REF!</v>
      </c>
      <c r="T35" s="538"/>
      <c r="U35" s="215" t="e">
        <f>'Notes 18-39'!U285</f>
        <v>#REF!</v>
      </c>
      <c r="V35" s="534"/>
      <c r="W35" s="219" t="s">
        <v>36</v>
      </c>
      <c r="X35" s="219" t="e">
        <f t="shared" si="2"/>
        <v>#REF!</v>
      </c>
      <c r="Y35" s="220">
        <v>2938625</v>
      </c>
      <c r="Z35" s="220">
        <f t="shared" si="1"/>
        <v>0.44999999972060323</v>
      </c>
      <c r="AA35" s="135"/>
      <c r="AB35" s="149"/>
    </row>
    <row r="36" spans="1:28">
      <c r="A36" s="484"/>
      <c r="C36" s="269" t="s">
        <v>727</v>
      </c>
      <c r="D36" s="335"/>
      <c r="E36" s="335"/>
      <c r="F36" s="359">
        <f>'TRAIL BALANCE'!F204</f>
        <v>3646241.45</v>
      </c>
      <c r="G36" s="335"/>
      <c r="H36" s="351">
        <f>'TRAIL BALANCE'!E204</f>
        <v>58520.71</v>
      </c>
      <c r="I36" s="342"/>
      <c r="J36" s="342"/>
      <c r="K36" s="342"/>
      <c r="L36" s="342"/>
      <c r="M36" s="342"/>
      <c r="N36" s="342"/>
      <c r="O36" s="342"/>
      <c r="P36" s="342"/>
      <c r="Q36" s="342"/>
      <c r="R36" s="1610"/>
      <c r="S36" s="513" t="e">
        <f>SUM('TRAIL BALANCE'!#REF!+'TRAIL BALANCE'!#REF!)</f>
        <v>#REF!</v>
      </c>
      <c r="T36" s="538"/>
      <c r="U36" s="215" t="e">
        <f>SUM('TRAIL BALANCE'!#REF!+'TRAIL BALANCE'!#REF!)</f>
        <v>#REF!</v>
      </c>
      <c r="V36" s="534"/>
      <c r="W36" s="219" t="s">
        <v>36</v>
      </c>
      <c r="X36" s="219" t="e">
        <f t="shared" si="2"/>
        <v>#REF!</v>
      </c>
      <c r="Y36" s="220">
        <v>58521</v>
      </c>
      <c r="Z36" s="220">
        <f t="shared" si="1"/>
        <v>-0.29000000000087311</v>
      </c>
      <c r="AA36" s="369"/>
      <c r="AB36" s="369"/>
    </row>
    <row r="37" spans="1:28">
      <c r="A37" s="484"/>
      <c r="C37" s="269" t="s">
        <v>728</v>
      </c>
      <c r="D37" s="335"/>
      <c r="E37" s="335"/>
      <c r="F37" s="359">
        <f>'TRAIL BALANCE'!F205</f>
        <v>16527.14</v>
      </c>
      <c r="G37" s="335"/>
      <c r="H37" s="351">
        <f>'TRAIL BALANCE'!E205</f>
        <v>31338.05</v>
      </c>
      <c r="I37" s="342"/>
      <c r="J37" s="342"/>
      <c r="K37" s="342"/>
      <c r="L37" s="342"/>
      <c r="M37" s="342"/>
      <c r="N37" s="342"/>
      <c r="O37" s="342"/>
      <c r="P37" s="342"/>
      <c r="Q37" s="342"/>
      <c r="R37" s="1610"/>
      <c r="S37" s="513" t="e">
        <f>'TRAIL BALANCE'!#REF!+'TRAIL BALANCE'!#REF!</f>
        <v>#REF!</v>
      </c>
      <c r="T37" s="538"/>
      <c r="U37" s="215" t="e">
        <f>'TRAIL BALANCE'!#REF!</f>
        <v>#REF!</v>
      </c>
      <c r="V37" s="534"/>
      <c r="W37" s="219" t="s">
        <v>36</v>
      </c>
      <c r="X37" s="219" t="e">
        <f t="shared" si="2"/>
        <v>#REF!</v>
      </c>
      <c r="Y37" s="220">
        <v>52604</v>
      </c>
      <c r="Z37" s="220">
        <f t="shared" si="1"/>
        <v>-21265.95</v>
      </c>
      <c r="AA37" s="1610"/>
      <c r="AB37" s="513"/>
    </row>
    <row r="38" spans="1:28">
      <c r="A38" s="484"/>
      <c r="C38" s="269" t="s">
        <v>729</v>
      </c>
      <c r="D38" s="335">
        <v>27</v>
      </c>
      <c r="E38" s="335"/>
      <c r="F38" s="359">
        <f>'TRAIL BALANCE'!F27+'TRAIL BALANCE'!F78+'TRAIL BALANCE'!F124+'TRAIL BALANCE'!FF159+'TRAIL BALANCE'!F176+'TRAIL BALANCE'!F206+'TRAIL BALANCE'!F272+'TRAIL BALANCE'!F290+'TRAIL BALANCE'!F325+'TRAIL BALANCE'!F358+'TRAIL BALANCE'!F394+'TRAIL BALANCE'!F454+'TRAIL BALANCE'!F479+'TRAIL BALANCE'!F537</f>
        <v>7102463.459999999</v>
      </c>
      <c r="G38" s="335"/>
      <c r="H38" s="351">
        <f>'TRAIL BALANCE'!E27+'TRAIL BALANCE'!E78+'TRAIL BALANCE'!E124+'TRAIL BALANCE'!E159+'TRAIL BALANCE'!E176+'TRAIL BALANCE'!E206+'TRAIL BALANCE'!E259+'TRAIL BALANCE'!E272+'TRAIL BALANCE'!E290+'TRAIL BALANCE'!E325+'TRAIL BALANCE'!E358+'TRAIL BALANCE'!E394+'TRAIL BALANCE'!E454+'TRAIL BALANCE'!E479+'TRAIL BALANCE'!E537-187.56</f>
        <v>4948194.830000001</v>
      </c>
      <c r="I38" s="342"/>
      <c r="J38" s="342"/>
      <c r="K38" s="342"/>
      <c r="L38" s="342"/>
      <c r="M38" s="342"/>
      <c r="N38" s="342"/>
      <c r="O38" s="342"/>
      <c r="P38" s="342"/>
      <c r="Q38" s="342"/>
      <c r="R38" s="1610"/>
      <c r="S38" s="513">
        <v>6100070</v>
      </c>
      <c r="T38" s="538"/>
      <c r="U38" s="215" t="e">
        <f>SUM('TRAIL BALANCE'!#REF!+'TRAIL BALANCE'!#REF!+'TRAIL BALANCE'!#REF!+'TRAIL BALANCE'!#REF!+'TRAIL BALANCE'!#REF!+'TRAIL BALANCE'!#REF!+'TRAIL BALANCE'!#REF!+'TRAIL BALANCE'!#REF!+'TRAIL BALANCE'!#REF!+'TRAIL BALANCE'!#REF!+'TRAIL BALANCE'!#REF!+'TRAIL BALANCE'!#REF!+'TRAIL BALANCE'!#REF!+'TRAIL BALANCE'!#REF!+'TRAIL BALANCE'!#REF!+'TRAIL BALANCE'!#REF!+'TRAIL BALANCE'!#REF!)-36000</f>
        <v>#REF!</v>
      </c>
      <c r="V38" s="534"/>
      <c r="W38" s="219" t="s">
        <v>36</v>
      </c>
      <c r="X38" s="219">
        <f t="shared" si="2"/>
        <v>-1151875.169999999</v>
      </c>
      <c r="Y38" s="220">
        <v>3670675</v>
      </c>
      <c r="Z38" s="220">
        <f t="shared" si="1"/>
        <v>1277519.830000001</v>
      </c>
      <c r="AA38" s="1610"/>
      <c r="AB38" s="513"/>
    </row>
    <row r="39" spans="1:28">
      <c r="A39" s="484"/>
      <c r="C39" s="269" t="s">
        <v>2905</v>
      </c>
      <c r="D39" s="335">
        <v>27</v>
      </c>
      <c r="E39" s="335"/>
      <c r="F39" s="359">
        <f>'TRAIL BALANCE'!F259</f>
        <v>34747.979999999996</v>
      </c>
      <c r="G39" s="335"/>
      <c r="H39" s="351"/>
      <c r="I39" s="342"/>
      <c r="J39" s="342"/>
      <c r="K39" s="342"/>
      <c r="L39" s="342"/>
      <c r="M39" s="342"/>
      <c r="N39" s="342"/>
      <c r="O39" s="342"/>
      <c r="P39" s="342"/>
      <c r="Q39" s="342"/>
      <c r="R39" s="1610"/>
      <c r="S39" s="513"/>
      <c r="T39" s="538"/>
      <c r="U39" s="215"/>
      <c r="V39" s="534"/>
      <c r="AA39" s="1610"/>
      <c r="AB39" s="513"/>
    </row>
    <row r="40" spans="1:28">
      <c r="A40" s="484"/>
      <c r="C40" s="269" t="s">
        <v>1568</v>
      </c>
      <c r="D40" s="335"/>
      <c r="E40" s="335"/>
      <c r="F40" s="215">
        <v>0</v>
      </c>
      <c r="G40" s="335"/>
      <c r="H40" s="544">
        <v>188</v>
      </c>
      <c r="I40" s="513"/>
      <c r="J40" s="513"/>
      <c r="K40" s="513"/>
      <c r="L40" s="513"/>
      <c r="M40" s="513"/>
      <c r="N40" s="513"/>
      <c r="O40" s="513"/>
      <c r="P40" s="513"/>
      <c r="Q40" s="513"/>
      <c r="R40" s="1610"/>
      <c r="S40" s="513">
        <v>138</v>
      </c>
      <c r="T40" s="538"/>
      <c r="U40" s="215">
        <v>0</v>
      </c>
      <c r="V40" s="534"/>
      <c r="W40" s="219" t="s">
        <v>36</v>
      </c>
      <c r="X40" s="219">
        <f t="shared" si="2"/>
        <v>50</v>
      </c>
      <c r="Y40" s="220">
        <v>187</v>
      </c>
      <c r="Z40" s="220">
        <f t="shared" si="1"/>
        <v>1</v>
      </c>
      <c r="AA40" s="1610"/>
      <c r="AB40" s="513"/>
    </row>
    <row r="41" spans="1:28">
      <c r="A41" s="484"/>
      <c r="C41" s="269" t="s">
        <v>730</v>
      </c>
      <c r="D41" s="335"/>
      <c r="E41" s="335"/>
      <c r="F41" s="359">
        <f>'Appendix E(1)'!B40</f>
        <v>4422976.5100000007</v>
      </c>
      <c r="G41" s="335"/>
      <c r="H41" s="351">
        <f>'TRAIL BALANCE'!E28+'TRAIL BALANCE'!E30+'TRAIL BALANCE'!E31+'TRAIL BALANCE'!E160+'TRAIL BALANCE'!E207+'TRAIL BALANCE'!E260+'TRAIL BALANCE'!E291+'TRAIL BALANCE'!E292+'TRAIL BALANCE'!E326+'TRAIL BALANCE'!E327+'TRAIL BALANCE'!E329+'TRAIL BALANCE'!E360+'TRAIL BALANCE'!E361+'TRAIL BALANCE'!E395+'TRAIL BALANCE'!E396+'TRAIL BALANCE'!E397+'TRAIL BALANCE'!E398+'TRAIL BALANCE'!E399+'TRAIL BALANCE'!E400+'TRAIL BALANCE'!E423+'TRAIL BALANCE'!E424+'TRAIL BALANCE'!E455+'TRAIL BALANCE'!E456+'TRAIL BALANCE'!E457+'TRAIL BALANCE'!E470+'TRAIL BALANCE'!E471+'TRAIL BALANCE'!E480+'TRAIL BALANCE'!E538+'TRAIL BALANCE'!E539+'TRAIL BALANCE'!E540</f>
        <v>4793500.4600000009</v>
      </c>
      <c r="I41" s="342"/>
      <c r="J41" s="342"/>
      <c r="K41" s="342"/>
      <c r="L41" s="342"/>
      <c r="M41" s="342"/>
      <c r="N41" s="342"/>
      <c r="O41" s="342"/>
      <c r="P41" s="342"/>
      <c r="Q41" s="342"/>
      <c r="R41" s="1610"/>
      <c r="S41" s="513" t="e">
        <f>#REF!</f>
        <v>#REF!</v>
      </c>
      <c r="T41" s="538"/>
      <c r="U41" s="215" t="e">
        <f>SUM('TRAIL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BALANCE'!#REF!+'TRAIL BALANCE'!#REF!)</f>
        <v>#REF!</v>
      </c>
      <c r="V41" s="534"/>
      <c r="W41" s="219" t="s">
        <v>36</v>
      </c>
      <c r="X41" s="219" t="e">
        <f t="shared" si="2"/>
        <v>#REF!</v>
      </c>
      <c r="Y41" s="220">
        <v>4813936</v>
      </c>
      <c r="Z41" s="220">
        <f t="shared" si="1"/>
        <v>-20435.539999999106</v>
      </c>
      <c r="AA41" s="1610"/>
      <c r="AB41" s="513"/>
    </row>
    <row r="42" spans="1:28">
      <c r="A42" s="484"/>
      <c r="C42" s="406" t="s">
        <v>1728</v>
      </c>
      <c r="D42" s="335">
        <v>29</v>
      </c>
      <c r="E42" s="335"/>
      <c r="F42" s="359">
        <f>'Notes 18-39'!D320</f>
        <v>30105151.129999999</v>
      </c>
      <c r="G42" s="335"/>
      <c r="H42" s="351">
        <f>'Notes 18-39'!F320</f>
        <v>28933065.280000001</v>
      </c>
      <c r="I42" s="342"/>
      <c r="J42" s="342"/>
      <c r="K42" s="342"/>
      <c r="L42" s="342"/>
      <c r="M42" s="342"/>
      <c r="N42" s="342"/>
      <c r="O42" s="342"/>
      <c r="P42" s="342"/>
      <c r="Q42" s="342"/>
      <c r="R42" s="1610"/>
      <c r="S42" s="513" t="e">
        <f>SUM('TRAIL BALANCE'!#REF!+'TRAIL BALANCE'!#REF!)</f>
        <v>#REF!</v>
      </c>
      <c r="T42" s="538"/>
      <c r="U42" s="215" t="e">
        <f>SUM('TRAIL BALANCE'!#REF!+'TRAIL BALANCE'!#REF!)</f>
        <v>#REF!</v>
      </c>
      <c r="V42" s="534"/>
      <c r="W42" s="219" t="s">
        <v>36</v>
      </c>
      <c r="X42" s="219" t="e">
        <f t="shared" si="2"/>
        <v>#REF!</v>
      </c>
      <c r="Y42" s="220">
        <v>27992230</v>
      </c>
      <c r="Z42" s="220">
        <f t="shared" ref="Z42:Z60" si="3">H42-Y42</f>
        <v>940835.28000000119</v>
      </c>
      <c r="AA42" s="335"/>
      <c r="AB42" s="513"/>
    </row>
    <row r="43" spans="1:28">
      <c r="A43" s="484"/>
      <c r="C43" s="406" t="s">
        <v>2899</v>
      </c>
      <c r="D43" s="335">
        <v>7</v>
      </c>
      <c r="E43" s="335"/>
      <c r="F43" s="359">
        <f>'TRAIL BALANCE'!F228+'TRAIL BALANCE'!F229</f>
        <v>164865</v>
      </c>
      <c r="G43" s="335"/>
      <c r="H43" s="351">
        <f>'TRAIL BALANCE'!E228+'TRAIL BALANCE'!E229-+'main TB'!O23-1</f>
        <v>2072403.91</v>
      </c>
      <c r="I43" s="342"/>
      <c r="J43" s="342"/>
      <c r="K43" s="342"/>
      <c r="L43" s="342"/>
      <c r="M43" s="342"/>
      <c r="N43" s="342"/>
      <c r="O43" s="342"/>
      <c r="P43" s="342"/>
      <c r="Q43" s="342"/>
      <c r="R43" s="1610"/>
      <c r="S43" s="513" t="e">
        <f>#REF!</f>
        <v>#REF!</v>
      </c>
      <c r="T43" s="538"/>
      <c r="U43" s="215"/>
      <c r="V43" s="534"/>
      <c r="W43" s="219" t="s">
        <v>36</v>
      </c>
      <c r="X43" s="219" t="e">
        <f t="shared" si="2"/>
        <v>#REF!</v>
      </c>
      <c r="Y43" s="220">
        <v>1815076</v>
      </c>
      <c r="Z43" s="220">
        <f t="shared" si="3"/>
        <v>257327.90999999992</v>
      </c>
      <c r="AA43" s="335"/>
      <c r="AB43" s="513"/>
    </row>
    <row r="44" spans="1:28">
      <c r="A44" s="484"/>
      <c r="C44" s="406" t="s">
        <v>1736</v>
      </c>
      <c r="D44" s="335">
        <v>7</v>
      </c>
      <c r="E44" s="335"/>
      <c r="F44" s="359">
        <f>-'Notes 2 - 9'!D121</f>
        <v>419890.57</v>
      </c>
      <c r="G44" s="335"/>
      <c r="H44" s="351">
        <f>-'Notes 2 - 9'!F121</f>
        <v>232810.83</v>
      </c>
      <c r="I44" s="342"/>
      <c r="J44" s="342"/>
      <c r="K44" s="342"/>
      <c r="L44" s="342"/>
      <c r="M44" s="342"/>
      <c r="N44" s="342"/>
      <c r="O44" s="342"/>
      <c r="P44" s="342"/>
      <c r="Q44" s="342"/>
      <c r="R44" s="1610"/>
      <c r="S44" s="513" t="e">
        <f>-'Notes 2 - 9'!#REF!</f>
        <v>#REF!</v>
      </c>
      <c r="T44" s="538"/>
      <c r="U44" s="215"/>
      <c r="V44" s="534"/>
      <c r="W44" s="219" t="s">
        <v>36</v>
      </c>
      <c r="X44" s="219" t="e">
        <f t="shared" si="2"/>
        <v>#REF!</v>
      </c>
      <c r="Y44" s="220">
        <v>486927</v>
      </c>
      <c r="Z44" s="220">
        <f t="shared" si="3"/>
        <v>-254116.17</v>
      </c>
      <c r="AA44" s="335"/>
      <c r="AB44" s="513"/>
    </row>
    <row r="45" spans="1:28">
      <c r="A45" s="484"/>
      <c r="C45" s="269" t="s">
        <v>2010</v>
      </c>
      <c r="D45" s="335">
        <v>30</v>
      </c>
      <c r="E45" s="335"/>
      <c r="F45" s="359">
        <f>'Notes 18-39'!D331</f>
        <v>2290430.41</v>
      </c>
      <c r="G45" s="335"/>
      <c r="H45" s="351">
        <f>'Notes 18-39'!F331</f>
        <v>2711937.93</v>
      </c>
      <c r="I45" s="342"/>
      <c r="J45" s="342"/>
      <c r="K45" s="342"/>
      <c r="L45" s="342"/>
      <c r="M45" s="342"/>
      <c r="N45" s="342"/>
      <c r="O45" s="342"/>
      <c r="P45" s="342"/>
      <c r="Q45" s="342"/>
      <c r="R45" s="1610"/>
      <c r="S45" s="513" t="e">
        <f>SUM('TRAIL BALANCE'!#REF!+'TRAIL BALANCE'!#REF!)</f>
        <v>#REF!</v>
      </c>
      <c r="T45" s="538"/>
      <c r="U45" s="215" t="e">
        <f>SUM('TRAIL BALANCE'!#REF!+'TRAIL BALANCE'!#REF!)</f>
        <v>#REF!</v>
      </c>
      <c r="V45" s="534"/>
      <c r="W45" s="219" t="s">
        <v>36</v>
      </c>
      <c r="X45" s="219" t="e">
        <f t="shared" si="2"/>
        <v>#REF!</v>
      </c>
      <c r="Y45" s="220">
        <v>2711938</v>
      </c>
      <c r="Z45" s="220">
        <f t="shared" si="3"/>
        <v>-6.9999999832361937E-2</v>
      </c>
      <c r="AA45" s="363"/>
      <c r="AB45" s="124"/>
    </row>
    <row r="46" spans="1:28">
      <c r="A46" s="484"/>
      <c r="C46" s="269" t="s">
        <v>1514</v>
      </c>
      <c r="D46" s="335">
        <v>31</v>
      </c>
      <c r="E46" s="335"/>
      <c r="F46" s="359">
        <f>'Notes 18-39'!D343</f>
        <v>3750000</v>
      </c>
      <c r="G46" s="335"/>
      <c r="H46" s="351">
        <f>'Notes 18-39'!F343</f>
        <v>3485000</v>
      </c>
      <c r="I46" s="342"/>
      <c r="J46" s="342"/>
      <c r="K46" s="342"/>
      <c r="L46" s="342"/>
      <c r="M46" s="342"/>
      <c r="N46" s="342"/>
      <c r="O46" s="342"/>
      <c r="P46" s="342"/>
      <c r="Q46" s="342"/>
      <c r="R46" s="1610"/>
      <c r="S46" s="513" t="e">
        <f>'Notes 18-39'!Q343</f>
        <v>#REF!</v>
      </c>
      <c r="T46" s="538"/>
      <c r="U46" s="215"/>
      <c r="V46" s="534"/>
      <c r="W46" s="219" t="s">
        <v>36</v>
      </c>
      <c r="X46" s="219" t="e">
        <f t="shared" si="2"/>
        <v>#REF!</v>
      </c>
      <c r="Y46" s="220">
        <v>3485000</v>
      </c>
      <c r="Z46" s="220">
        <f t="shared" si="3"/>
        <v>0</v>
      </c>
    </row>
    <row r="47" spans="1:28">
      <c r="A47" s="484"/>
      <c r="C47" s="269" t="s">
        <v>1044</v>
      </c>
      <c r="D47" s="335">
        <v>32</v>
      </c>
      <c r="E47" s="335"/>
      <c r="F47" s="359">
        <f>'Notes 18-39'!D404</f>
        <v>26955894.380000006</v>
      </c>
      <c r="G47" s="335"/>
      <c r="H47" s="351">
        <f>'Notes 18-39'!F404</f>
        <v>26268106.91</v>
      </c>
      <c r="I47" s="342"/>
      <c r="J47" s="342"/>
      <c r="K47" s="342"/>
      <c r="L47" s="342"/>
      <c r="M47" s="342"/>
      <c r="N47" s="342"/>
      <c r="O47" s="342"/>
      <c r="P47" s="342"/>
      <c r="Q47" s="342"/>
      <c r="R47" s="1610"/>
      <c r="S47" s="513">
        <v>23228694</v>
      </c>
      <c r="T47" s="538"/>
      <c r="U47" s="215">
        <v>17516469</v>
      </c>
      <c r="V47" s="534"/>
      <c r="W47" s="219" t="s">
        <v>36</v>
      </c>
      <c r="X47" s="219">
        <f t="shared" si="2"/>
        <v>3039412.91</v>
      </c>
      <c r="Y47" s="220">
        <v>19345531</v>
      </c>
      <c r="Z47" s="220">
        <f t="shared" si="3"/>
        <v>6922575.9100000001</v>
      </c>
    </row>
    <row r="48" spans="1:28">
      <c r="A48" s="484"/>
      <c r="C48" s="269" t="s">
        <v>525</v>
      </c>
      <c r="D48" s="335"/>
      <c r="E48" s="335"/>
      <c r="F48" s="1566">
        <f>'TRAIL BALANCE'!F422</f>
        <v>1932.0300000000279</v>
      </c>
      <c r="G48" s="335"/>
      <c r="H48" s="348">
        <f>'TRAIL BALANCE'!E422</f>
        <v>3884563.47</v>
      </c>
      <c r="I48" s="342"/>
      <c r="J48" s="342"/>
      <c r="K48" s="342"/>
      <c r="L48" s="342"/>
      <c r="M48" s="342"/>
      <c r="N48" s="342"/>
      <c r="O48" s="342"/>
      <c r="P48" s="342"/>
      <c r="Q48" s="342"/>
      <c r="R48" s="1610"/>
      <c r="S48" s="513" t="e">
        <f>#REF!</f>
        <v>#REF!</v>
      </c>
      <c r="T48" s="538"/>
      <c r="U48" s="215">
        <v>0</v>
      </c>
      <c r="V48" s="534"/>
      <c r="W48" s="219" t="s">
        <v>36</v>
      </c>
      <c r="X48" s="219" t="e">
        <f t="shared" si="2"/>
        <v>#REF!</v>
      </c>
      <c r="Y48" s="220">
        <v>18673852</v>
      </c>
      <c r="Z48" s="220">
        <f t="shared" si="3"/>
        <v>-14789288.529999999</v>
      </c>
    </row>
    <row r="49" spans="1:32" s="1026" customFormat="1">
      <c r="A49" s="540"/>
      <c r="C49" s="265" t="s">
        <v>1878</v>
      </c>
      <c r="D49" s="1603"/>
      <c r="E49" s="1603"/>
      <c r="F49" s="200">
        <f>SUM(F34:F48)</f>
        <v>114362818.29000001</v>
      </c>
      <c r="G49" s="1603"/>
      <c r="H49" s="556">
        <f>SUM(H34:H48)</f>
        <v>105839615.66000001</v>
      </c>
      <c r="I49" s="149"/>
      <c r="J49" s="149"/>
      <c r="K49" s="149"/>
      <c r="L49" s="149"/>
      <c r="M49" s="149"/>
      <c r="N49" s="149"/>
      <c r="O49" s="149"/>
      <c r="P49" s="149"/>
      <c r="Q49" s="149"/>
      <c r="R49" s="135"/>
      <c r="S49" s="149" t="e">
        <f>SUM(S34:S48)</f>
        <v>#REF!</v>
      </c>
      <c r="T49" s="547"/>
      <c r="U49" s="200" t="e">
        <f>SUM(U34:U48)</f>
        <v>#REF!</v>
      </c>
      <c r="V49" s="138"/>
      <c r="W49" s="163"/>
      <c r="X49" s="163"/>
      <c r="Y49" s="200">
        <f>SUM(Y34:Y48)</f>
        <v>111526462</v>
      </c>
      <c r="Z49" s="220">
        <f t="shared" si="3"/>
        <v>-5686846.3399999887</v>
      </c>
      <c r="AA49" s="177"/>
      <c r="AB49" s="177"/>
      <c r="AC49" s="177"/>
      <c r="AD49" s="177"/>
      <c r="AE49" s="177"/>
      <c r="AF49" s="177"/>
    </row>
    <row r="50" spans="1:32" s="1026" customFormat="1">
      <c r="A50" s="540"/>
      <c r="C50" s="265"/>
      <c r="D50" s="1603"/>
      <c r="E50" s="1603"/>
      <c r="F50" s="1191"/>
      <c r="G50" s="1603"/>
      <c r="H50" s="548"/>
      <c r="I50" s="149"/>
      <c r="J50" s="149"/>
      <c r="K50" s="149"/>
      <c r="L50" s="149"/>
      <c r="M50" s="149"/>
      <c r="N50" s="149"/>
      <c r="O50" s="149"/>
      <c r="P50" s="149"/>
      <c r="Q50" s="149"/>
      <c r="R50" s="135"/>
      <c r="S50" s="149"/>
      <c r="T50" s="547"/>
      <c r="U50" s="196"/>
      <c r="V50" s="138"/>
      <c r="W50" s="163"/>
      <c r="X50" s="163"/>
      <c r="Y50" s="177"/>
      <c r="Z50" s="220">
        <f t="shared" si="3"/>
        <v>0</v>
      </c>
      <c r="AA50" s="177"/>
      <c r="AB50" s="177"/>
      <c r="AC50" s="177"/>
      <c r="AD50" s="177"/>
      <c r="AE50" s="177"/>
      <c r="AF50" s="177"/>
    </row>
    <row r="51" spans="1:32" s="1026" customFormat="1">
      <c r="A51" s="540"/>
      <c r="C51" s="265" t="s">
        <v>1339</v>
      </c>
      <c r="D51" s="1603"/>
      <c r="E51" s="1603"/>
      <c r="F51" s="1191"/>
      <c r="G51" s="1603"/>
      <c r="H51" s="548"/>
      <c r="I51" s="149"/>
      <c r="J51" s="149"/>
      <c r="K51" s="149"/>
      <c r="L51" s="149"/>
      <c r="M51" s="149"/>
      <c r="N51" s="149"/>
      <c r="O51" s="149"/>
      <c r="P51" s="149"/>
      <c r="Q51" s="149"/>
      <c r="R51" s="135"/>
      <c r="S51" s="149"/>
      <c r="T51" s="547"/>
      <c r="U51" s="196"/>
      <c r="V51" s="138"/>
      <c r="W51" s="163"/>
      <c r="X51" s="163"/>
      <c r="Y51" s="177"/>
      <c r="Z51" s="220">
        <f t="shared" si="3"/>
        <v>0</v>
      </c>
      <c r="AA51" s="177"/>
      <c r="AB51" s="177"/>
      <c r="AC51" s="177"/>
      <c r="AD51" s="177"/>
      <c r="AE51" s="177"/>
      <c r="AF51" s="177"/>
    </row>
    <row r="52" spans="1:32" s="1026" customFormat="1">
      <c r="A52" s="540"/>
      <c r="C52" s="265"/>
      <c r="D52" s="1603"/>
      <c r="E52" s="1603"/>
      <c r="F52" s="1191"/>
      <c r="G52" s="1603"/>
      <c r="H52" s="548"/>
      <c r="I52" s="149"/>
      <c r="J52" s="149"/>
      <c r="K52" s="149"/>
      <c r="L52" s="149"/>
      <c r="M52" s="149"/>
      <c r="N52" s="149"/>
      <c r="O52" s="149"/>
      <c r="P52" s="149"/>
      <c r="Q52" s="149"/>
      <c r="R52" s="135"/>
      <c r="S52" s="149"/>
      <c r="T52" s="547"/>
      <c r="U52" s="196"/>
      <c r="V52" s="138"/>
      <c r="W52" s="163"/>
      <c r="X52" s="163"/>
      <c r="Y52" s="177"/>
      <c r="Z52" s="220"/>
      <c r="AA52" s="177"/>
      <c r="AB52" s="177"/>
      <c r="AC52" s="177"/>
      <c r="AD52" s="177"/>
      <c r="AE52" s="177"/>
      <c r="AF52" s="177"/>
    </row>
    <row r="53" spans="1:32" s="1026" customFormat="1">
      <c r="A53" s="540"/>
      <c r="C53" s="269" t="s">
        <v>731</v>
      </c>
      <c r="D53" s="1603">
        <v>28</v>
      </c>
      <c r="E53" s="1603"/>
      <c r="F53" s="1567">
        <f>'Notes 18-39'!D311</f>
        <v>1606744.2000000002</v>
      </c>
      <c r="G53" s="1603"/>
      <c r="H53" s="557">
        <f>'Notes 18-39'!F311</f>
        <v>2312617.1300000004</v>
      </c>
      <c r="I53" s="342"/>
      <c r="J53" s="342"/>
      <c r="K53" s="342"/>
      <c r="L53" s="342"/>
      <c r="M53" s="342"/>
      <c r="N53" s="342"/>
      <c r="O53" s="342"/>
      <c r="P53" s="342"/>
      <c r="Q53" s="342"/>
      <c r="R53" s="135"/>
      <c r="S53" s="513" t="e">
        <f>'Notes 18-39'!Q311</f>
        <v>#REF!</v>
      </c>
      <c r="T53" s="547"/>
      <c r="U53" s="558" t="e">
        <f>SUM('Notes 18-39'!U311)</f>
        <v>#REF!</v>
      </c>
      <c r="V53" s="138"/>
      <c r="W53" s="163"/>
      <c r="X53" s="219" t="e">
        <f>H53-S53</f>
        <v>#REF!</v>
      </c>
      <c r="Y53" s="177">
        <v>2074879</v>
      </c>
      <c r="Z53" s="220">
        <f t="shared" si="3"/>
        <v>237738.13000000035</v>
      </c>
      <c r="AA53" s="177"/>
      <c r="AB53" s="177"/>
      <c r="AC53" s="177"/>
      <c r="AD53" s="177"/>
      <c r="AE53" s="177"/>
      <c r="AF53" s="177"/>
    </row>
    <row r="54" spans="1:32" s="1026" customFormat="1">
      <c r="A54" s="540"/>
      <c r="C54" s="265"/>
      <c r="D54" s="1603"/>
      <c r="E54" s="1603"/>
      <c r="F54" s="1191"/>
      <c r="G54" s="1603"/>
      <c r="H54" s="548"/>
      <c r="I54" s="149"/>
      <c r="J54" s="149"/>
      <c r="K54" s="149"/>
      <c r="L54" s="149"/>
      <c r="M54" s="149"/>
      <c r="N54" s="149"/>
      <c r="O54" s="149"/>
      <c r="P54" s="149"/>
      <c r="Q54" s="149"/>
      <c r="R54" s="135"/>
      <c r="S54" s="149"/>
      <c r="T54" s="547"/>
      <c r="U54" s="196"/>
      <c r="V54" s="138"/>
      <c r="W54" s="163"/>
      <c r="X54" s="163"/>
      <c r="Y54" s="177"/>
      <c r="Z54" s="220">
        <f t="shared" si="3"/>
        <v>0</v>
      </c>
      <c r="AA54" s="177"/>
      <c r="AB54" s="177"/>
      <c r="AC54" s="177"/>
      <c r="AD54" s="177"/>
      <c r="AE54" s="177"/>
      <c r="AF54" s="177"/>
    </row>
    <row r="55" spans="1:32" s="1026" customFormat="1" ht="13.5" thickBot="1">
      <c r="A55" s="540"/>
      <c r="C55" s="265" t="s">
        <v>1879</v>
      </c>
      <c r="D55" s="1603"/>
      <c r="E55" s="1603"/>
      <c r="F55" s="1182">
        <f>SUM(F49:F54)</f>
        <v>115969562.49000001</v>
      </c>
      <c r="G55" s="1603"/>
      <c r="H55" s="559">
        <f>SUM(H49:H54)</f>
        <v>108152232.79000001</v>
      </c>
      <c r="I55" s="1191"/>
      <c r="J55" s="1191"/>
      <c r="K55" s="1191"/>
      <c r="L55" s="1191"/>
      <c r="M55" s="1191"/>
      <c r="N55" s="1191"/>
      <c r="O55" s="1191"/>
      <c r="P55" s="1191"/>
      <c r="Q55" s="1191"/>
      <c r="R55" s="135"/>
      <c r="S55" s="1191" t="e">
        <f>SUM(S49:S54)</f>
        <v>#REF!</v>
      </c>
      <c r="T55" s="547"/>
      <c r="U55" s="491" t="e">
        <f>SUM(U49:U54)</f>
        <v>#REF!</v>
      </c>
      <c r="V55" s="138"/>
      <c r="W55" s="163"/>
      <c r="X55" s="163"/>
      <c r="Y55" s="1191">
        <f>SUM(Y49:Y54)</f>
        <v>113601341</v>
      </c>
      <c r="Z55" s="220">
        <f t="shared" si="3"/>
        <v>-5449108.2099999934</v>
      </c>
      <c r="AA55" s="177"/>
      <c r="AB55" s="177"/>
      <c r="AC55" s="177"/>
      <c r="AD55" s="177"/>
      <c r="AE55" s="177"/>
      <c r="AF55" s="177"/>
    </row>
    <row r="56" spans="1:32" ht="13.5" thickTop="1">
      <c r="A56" s="484"/>
      <c r="C56" s="269"/>
      <c r="D56" s="335"/>
      <c r="E56" s="335"/>
      <c r="F56" s="342"/>
      <c r="G56" s="335"/>
      <c r="H56" s="537"/>
      <c r="I56" s="342"/>
      <c r="J56" s="342"/>
      <c r="K56" s="342"/>
      <c r="L56" s="342"/>
      <c r="M56" s="342"/>
      <c r="N56" s="342"/>
      <c r="O56" s="342"/>
      <c r="P56" s="342"/>
      <c r="Q56" s="342"/>
      <c r="R56" s="1610"/>
      <c r="S56" s="325"/>
      <c r="T56" s="538"/>
      <c r="U56" s="555"/>
      <c r="V56" s="534"/>
      <c r="Z56" s="220">
        <f t="shared" si="3"/>
        <v>0</v>
      </c>
    </row>
    <row r="57" spans="1:32" s="1026" customFormat="1">
      <c r="A57" s="540"/>
      <c r="C57" s="265" t="s">
        <v>1313</v>
      </c>
      <c r="D57" s="1603"/>
      <c r="E57" s="1603"/>
      <c r="F57" s="149">
        <f>F29-F55</f>
        <v>15198325.659999982</v>
      </c>
      <c r="G57" s="1603"/>
      <c r="H57" s="548">
        <f>H29-H55</f>
        <v>-14841359.510000005</v>
      </c>
      <c r="I57" s="149"/>
      <c r="J57" s="149"/>
      <c r="K57" s="149"/>
      <c r="L57" s="149"/>
      <c r="M57" s="149"/>
      <c r="N57" s="149"/>
      <c r="O57" s="149"/>
      <c r="P57" s="149"/>
      <c r="Q57" s="149"/>
      <c r="R57" s="135"/>
      <c r="S57" s="149" t="e">
        <f>S29-S55</f>
        <v>#REF!</v>
      </c>
      <c r="T57" s="547"/>
      <c r="U57" s="560" t="e">
        <f>U29-U55</f>
        <v>#REF!</v>
      </c>
      <c r="V57" s="138"/>
      <c r="W57" s="163"/>
      <c r="X57" s="163"/>
      <c r="Y57" s="560">
        <f>Y29-Y55</f>
        <v>-17532622</v>
      </c>
      <c r="Z57" s="220">
        <f t="shared" si="3"/>
        <v>2691262.4899999946</v>
      </c>
      <c r="AA57" s="177"/>
      <c r="AB57" s="177"/>
      <c r="AC57" s="177"/>
      <c r="AD57" s="177"/>
      <c r="AE57" s="177"/>
      <c r="AF57" s="177"/>
    </row>
    <row r="58" spans="1:32" s="1026" customFormat="1">
      <c r="A58" s="540"/>
      <c r="C58" s="265"/>
      <c r="D58" s="1603"/>
      <c r="E58" s="1603"/>
      <c r="F58" s="1191"/>
      <c r="G58" s="1603"/>
      <c r="H58" s="548"/>
      <c r="I58" s="149"/>
      <c r="J58" s="149"/>
      <c r="K58" s="149"/>
      <c r="L58" s="149"/>
      <c r="M58" s="149"/>
      <c r="N58" s="149"/>
      <c r="O58" s="149"/>
      <c r="P58" s="149"/>
      <c r="Q58" s="149"/>
      <c r="R58" s="135"/>
      <c r="S58" s="149"/>
      <c r="T58" s="547"/>
      <c r="U58" s="459"/>
      <c r="V58" s="138"/>
      <c r="W58" s="163"/>
      <c r="X58" s="163"/>
      <c r="Y58" s="177"/>
      <c r="Z58" s="220">
        <f t="shared" si="3"/>
        <v>0</v>
      </c>
      <c r="AA58" s="177"/>
      <c r="AB58" s="177"/>
      <c r="AC58" s="177"/>
      <c r="AD58" s="177"/>
      <c r="AE58" s="177"/>
      <c r="AF58" s="177"/>
    </row>
    <row r="59" spans="1:32" s="1026" customFormat="1">
      <c r="A59" s="540"/>
      <c r="C59" s="265"/>
      <c r="D59" s="1603"/>
      <c r="E59" s="1603"/>
      <c r="F59" s="1191"/>
      <c r="G59" s="1603"/>
      <c r="H59" s="355"/>
      <c r="I59" s="1191"/>
      <c r="J59" s="1191"/>
      <c r="K59" s="1191"/>
      <c r="L59" s="1191"/>
      <c r="M59" s="1191"/>
      <c r="N59" s="1191"/>
      <c r="O59" s="1191"/>
      <c r="P59" s="1191"/>
      <c r="Q59" s="1191"/>
      <c r="R59" s="135"/>
      <c r="S59" s="325"/>
      <c r="T59" s="158"/>
      <c r="U59" s="555"/>
      <c r="V59" s="138"/>
      <c r="W59" s="163"/>
      <c r="X59" s="163"/>
      <c r="Y59" s="177"/>
      <c r="Z59" s="220">
        <f t="shared" si="3"/>
        <v>0</v>
      </c>
      <c r="AA59" s="177"/>
      <c r="AB59" s="177"/>
      <c r="AC59" s="177"/>
      <c r="AD59" s="177"/>
      <c r="AE59" s="177"/>
      <c r="AF59" s="177"/>
    </row>
    <row r="60" spans="1:32" s="1026" customFormat="1">
      <c r="A60" s="540"/>
      <c r="C60" s="265" t="s">
        <v>1381</v>
      </c>
      <c r="D60" s="335"/>
      <c r="E60" s="335"/>
      <c r="F60" s="149">
        <f>F57</f>
        <v>15198325.659999982</v>
      </c>
      <c r="G60" s="335"/>
      <c r="H60" s="548">
        <f>'Appendix D'!G78</f>
        <v>-14841360.20000001</v>
      </c>
      <c r="I60" s="149"/>
      <c r="J60" s="149"/>
      <c r="K60" s="149"/>
      <c r="L60" s="149"/>
      <c r="M60" s="149"/>
      <c r="N60" s="149"/>
      <c r="O60" s="149"/>
      <c r="P60" s="149"/>
      <c r="Q60" s="149"/>
      <c r="R60" s="135"/>
      <c r="S60" s="149" t="e">
        <f>S57</f>
        <v>#REF!</v>
      </c>
      <c r="T60" s="547"/>
      <c r="U60" s="200" t="e">
        <f>U57</f>
        <v>#REF!</v>
      </c>
      <c r="V60" s="138"/>
      <c r="W60" s="163"/>
      <c r="X60" s="163"/>
      <c r="Y60" s="200">
        <f>Y57</f>
        <v>-17532622</v>
      </c>
      <c r="Z60" s="220">
        <f t="shared" si="3"/>
        <v>2691261.7999999896</v>
      </c>
      <c r="AA60" s="177"/>
      <c r="AB60" s="177"/>
      <c r="AC60" s="177"/>
      <c r="AD60" s="177"/>
      <c r="AE60" s="177"/>
      <c r="AF60" s="177"/>
    </row>
    <row r="61" spans="1:32" ht="9.75" customHeight="1" thickBot="1">
      <c r="A61" s="484"/>
      <c r="C61" s="352"/>
      <c r="D61" s="353"/>
      <c r="E61" s="353"/>
      <c r="F61" s="1568"/>
      <c r="G61" s="353"/>
      <c r="H61" s="561"/>
      <c r="I61" s="342"/>
      <c r="J61" s="342"/>
      <c r="K61" s="342"/>
      <c r="L61" s="342"/>
      <c r="M61" s="342"/>
      <c r="N61" s="342"/>
      <c r="O61" s="342"/>
      <c r="P61" s="342"/>
      <c r="Q61" s="342"/>
      <c r="R61" s="1610"/>
      <c r="S61" s="317"/>
      <c r="T61" s="562"/>
      <c r="U61" s="563"/>
      <c r="V61" s="564"/>
    </row>
    <row r="62" spans="1:32">
      <c r="C62" s="1610"/>
      <c r="D62" s="335"/>
      <c r="E62" s="335"/>
      <c r="F62" s="342"/>
      <c r="G62" s="335"/>
      <c r="H62" s="342"/>
      <c r="I62" s="342"/>
      <c r="J62" s="342"/>
      <c r="K62" s="342"/>
      <c r="L62" s="342"/>
      <c r="M62" s="342"/>
      <c r="N62" s="342"/>
      <c r="O62" s="342"/>
      <c r="P62" s="342"/>
      <c r="Q62" s="342"/>
      <c r="R62" s="1610"/>
      <c r="S62" s="317"/>
      <c r="T62" s="538"/>
      <c r="U62" s="563"/>
      <c r="V62" s="1610"/>
      <c r="Z62" s="177"/>
    </row>
    <row r="124" spans="18:18">
      <c r="R124" s="1025">
        <v>5253981.1399999997</v>
      </c>
    </row>
  </sheetData>
  <mergeCells count="3">
    <mergeCell ref="C1:H1"/>
    <mergeCell ref="C2:H2"/>
    <mergeCell ref="C3:H3"/>
  </mergeCells>
  <phoneticPr fontId="0" type="noConversion"/>
  <printOptions horizontalCentered="1"/>
  <pageMargins left="0.6692913385826772" right="0.39370078740157483" top="0.98425196850393704" bottom="0.98425196850393704" header="0.51181102362204722" footer="0.51181102362204722"/>
  <pageSetup scale="88" orientation="portrait" r:id="rId1"/>
  <headerFooter alignWithMargins="0">
    <oddHeader>&amp;C FINANCIAL STATEMENTS: MUSINA LOCAL MUNICIPALITY</oddHeader>
    <oddFooter>&amp;RPage &amp;P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P112"/>
  <sheetViews>
    <sheetView view="pageBreakPreview" topLeftCell="A16" zoomScaleNormal="80" zoomScaleSheetLayoutView="100" workbookViewId="0">
      <selection activeCell="F56" sqref="F56"/>
    </sheetView>
  </sheetViews>
  <sheetFormatPr defaultRowHeight="12.75"/>
  <cols>
    <col min="1" max="1" width="2.5703125" style="1293" customWidth="1"/>
    <col min="2" max="2" width="51.42578125" style="1293" bestFit="1" customWidth="1"/>
    <col min="3" max="3" width="4.7109375" style="1293" customWidth="1"/>
    <col min="4" max="4" width="14.140625" style="1367" customWidth="1"/>
    <col min="5" max="5" width="4.7109375" style="1293" customWidth="1"/>
    <col min="6" max="6" width="14.140625" style="1293" customWidth="1"/>
    <col min="7" max="7" width="2.28515625" style="1299" customWidth="1"/>
    <col min="8" max="11" width="14.140625" style="1299" customWidth="1"/>
    <col min="12" max="12" width="37.42578125" style="1367" customWidth="1"/>
    <col min="13" max="13" width="14" style="1367" bestFit="1" customWidth="1"/>
    <col min="14" max="14" width="16.85546875" style="1367" bestFit="1" customWidth="1"/>
    <col min="15" max="15" width="9.140625" style="1367" customWidth="1"/>
    <col min="16" max="16" width="10.42578125" style="1293" customWidth="1"/>
    <col min="17" max="16384" width="9.140625" style="1293"/>
  </cols>
  <sheetData>
    <row r="1" spans="1:15">
      <c r="A1" s="1358"/>
      <c r="B1" s="1358"/>
      <c r="C1" s="1358"/>
      <c r="D1" s="1359"/>
      <c r="E1" s="1358"/>
      <c r="F1" s="1358"/>
      <c r="G1" s="1449"/>
      <c r="H1" s="1449"/>
      <c r="I1" s="1449"/>
      <c r="J1" s="1449"/>
      <c r="K1" s="1449"/>
    </row>
    <row r="2" spans="1:15">
      <c r="A2" s="1358"/>
      <c r="B2" s="1680" t="s">
        <v>1110</v>
      </c>
      <c r="C2" s="1680"/>
      <c r="D2" s="1680"/>
      <c r="E2" s="1680"/>
      <c r="F2" s="1680"/>
      <c r="G2" s="1242"/>
      <c r="H2" s="1242"/>
      <c r="I2" s="1242"/>
      <c r="J2" s="1242"/>
      <c r="K2" s="1242"/>
    </row>
    <row r="3" spans="1:15">
      <c r="A3" s="1358"/>
      <c r="B3" s="1680" t="s">
        <v>706</v>
      </c>
      <c r="C3" s="1680"/>
      <c r="D3" s="1680"/>
      <c r="E3" s="1680"/>
      <c r="F3" s="1680"/>
      <c r="G3" s="1242"/>
      <c r="H3" s="1242"/>
      <c r="I3" s="1242"/>
      <c r="J3" s="1242"/>
      <c r="K3" s="1242"/>
    </row>
    <row r="4" spans="1:15">
      <c r="A4" s="1358"/>
      <c r="B4" s="1681" t="s">
        <v>2075</v>
      </c>
      <c r="C4" s="1681"/>
      <c r="D4" s="1681"/>
      <c r="E4" s="1681"/>
      <c r="F4" s="1681"/>
      <c r="G4" s="1487"/>
      <c r="H4" s="1487"/>
      <c r="I4" s="1487"/>
      <c r="J4" s="1487"/>
      <c r="K4" s="1487"/>
    </row>
    <row r="5" spans="1:15">
      <c r="A5" s="1358"/>
      <c r="B5" s="1488"/>
      <c r="C5" s="1488"/>
      <c r="D5" s="1492"/>
      <c r="E5" s="1488"/>
      <c r="F5" s="1488"/>
      <c r="G5" s="1488"/>
      <c r="H5" s="1488"/>
      <c r="I5" s="1488"/>
      <c r="J5" s="1488"/>
      <c r="K5" s="1488"/>
    </row>
    <row r="6" spans="1:15">
      <c r="A6" s="1358"/>
      <c r="B6" s="1488"/>
      <c r="C6" s="1488"/>
      <c r="D6" s="1492"/>
      <c r="E6" s="1488"/>
      <c r="F6" s="1488"/>
      <c r="G6" s="1488"/>
      <c r="H6" s="1488"/>
      <c r="I6" s="1488"/>
      <c r="J6" s="1488"/>
      <c r="K6" s="1488"/>
    </row>
    <row r="7" spans="1:15">
      <c r="A7" s="1358"/>
      <c r="B7" s="1488"/>
      <c r="C7" s="1488"/>
      <c r="D7" s="1489" t="s">
        <v>2077</v>
      </c>
      <c r="E7" s="1488"/>
      <c r="F7" s="1489" t="s">
        <v>1796</v>
      </c>
      <c r="G7" s="1488"/>
      <c r="H7" s="1488"/>
      <c r="I7" s="1488"/>
      <c r="J7" s="1488"/>
      <c r="K7" s="1488"/>
    </row>
    <row r="8" spans="1:15">
      <c r="A8" s="1358"/>
      <c r="B8" s="1242" t="s">
        <v>703</v>
      </c>
      <c r="C8" s="1358"/>
      <c r="D8" s="1359"/>
      <c r="E8" s="1358"/>
      <c r="F8" s="1358"/>
      <c r="G8" s="1242"/>
      <c r="H8" s="1242"/>
      <c r="I8" s="1242"/>
      <c r="J8" s="1242"/>
      <c r="K8" s="1242"/>
    </row>
    <row r="9" spans="1:15" s="1491" customFormat="1">
      <c r="A9" s="74"/>
      <c r="B9" s="74" t="s">
        <v>1111</v>
      </c>
      <c r="C9" s="74"/>
      <c r="D9" s="1611"/>
      <c r="E9" s="74"/>
      <c r="F9" s="74"/>
      <c r="G9" s="1242"/>
      <c r="H9" s="1242"/>
      <c r="I9" s="1242"/>
      <c r="J9" s="1242"/>
      <c r="K9" s="1242"/>
      <c r="L9" s="1490"/>
      <c r="M9" s="1490"/>
      <c r="N9" s="1490"/>
      <c r="O9" s="1490"/>
    </row>
    <row r="10" spans="1:15">
      <c r="A10" s="1358"/>
      <c r="B10" s="1358"/>
      <c r="C10" s="1358"/>
      <c r="D10" s="1359"/>
      <c r="E10" s="1358"/>
      <c r="F10" s="1358"/>
      <c r="G10" s="1449"/>
      <c r="H10" s="1449"/>
      <c r="I10" s="1449"/>
      <c r="J10" s="1449"/>
      <c r="K10" s="1449"/>
    </row>
    <row r="11" spans="1:15">
      <c r="A11" s="1358"/>
      <c r="B11" s="1358" t="s">
        <v>1534</v>
      </c>
      <c r="C11" s="1358"/>
      <c r="D11" s="1492">
        <f>'Statement of Financial Performa'!F23-'Statement of Financial Performa'!F13-'Statement of Financial Performa'!F22</f>
        <v>128448339.96999998</v>
      </c>
      <c r="E11" s="1358"/>
      <c r="F11" s="1492">
        <f>SUM('Statement of Financial Performa'!H23)-'Statement of Financial Performa'!H13-'Statement of Financial Performa'!H22</f>
        <v>90906125.160000011</v>
      </c>
      <c r="G11" s="1449"/>
      <c r="H11" s="1449"/>
      <c r="I11" s="1449"/>
      <c r="J11" s="1449"/>
      <c r="K11" s="1449"/>
      <c r="M11" s="1493"/>
      <c r="N11" s="1493"/>
    </row>
    <row r="12" spans="1:15">
      <c r="A12" s="1358"/>
      <c r="B12" s="1358" t="s">
        <v>1112</v>
      </c>
      <c r="C12" s="1358"/>
      <c r="D12" s="1492">
        <f>-'Statement of Financial Performa'!F49+'Statement of Financial Performa'!F40+'Statement of Financial Performa'!F38+'Statement of Financial Performa'!F36+'Statement of Financial Performa'!F43+'Statement of Financial Performa'!F44+'Statement of Financial Performa'!F48+'Statement of Financial Performa'!F39</f>
        <v>-102992677.80000001</v>
      </c>
      <c r="E12" s="1358"/>
      <c r="F12" s="1492">
        <f>-'Statement of Financial Performa'!H49+'Statement of Financial Performa'!H40+'Statement of Financial Performa'!H38+'Statement of Financial Performa'!H36+'Statement of Financial Performa'!H43+'Statement of Financial Performa'!H44+'Statement of Financial Performa'!H48</f>
        <v>-94642933.910000026</v>
      </c>
      <c r="G12" s="1449"/>
      <c r="H12" s="1449"/>
      <c r="I12" s="1449"/>
      <c r="J12" s="1449"/>
      <c r="K12" s="1449"/>
      <c r="M12" s="1367" t="s">
        <v>36</v>
      </c>
    </row>
    <row r="13" spans="1:15">
      <c r="A13" s="1358"/>
      <c r="B13" s="1358"/>
      <c r="C13" s="1358"/>
      <c r="D13" s="1359"/>
      <c r="E13" s="1358"/>
      <c r="F13" s="1358"/>
      <c r="G13" s="1449"/>
      <c r="H13" s="1449"/>
      <c r="I13" s="1449"/>
      <c r="J13" s="1449"/>
      <c r="K13" s="1449"/>
      <c r="M13" s="1367" t="s">
        <v>36</v>
      </c>
    </row>
    <row r="14" spans="1:15" s="1491" customFormat="1" ht="13.5" thickBot="1">
      <c r="A14" s="74"/>
      <c r="B14" s="1494" t="s">
        <v>541</v>
      </c>
      <c r="C14" s="1494">
        <v>37</v>
      </c>
      <c r="D14" s="1495">
        <f>SUM(D11:D13)</f>
        <v>25455662.169999972</v>
      </c>
      <c r="E14" s="1494"/>
      <c r="F14" s="1495">
        <f>SUM(F11:F13)</f>
        <v>-3736808.7500000149</v>
      </c>
      <c r="G14" s="1242"/>
      <c r="H14" s="1496">
        <f>D14</f>
        <v>25455662.169999972</v>
      </c>
      <c r="I14" s="1242"/>
      <c r="J14" s="1242"/>
      <c r="K14" s="1242"/>
      <c r="L14" s="1367"/>
      <c r="M14" s="1490"/>
      <c r="N14" s="1490"/>
      <c r="O14" s="1490"/>
    </row>
    <row r="15" spans="1:15" ht="13.5" thickTop="1">
      <c r="A15" s="1358"/>
      <c r="B15" s="1358"/>
      <c r="C15" s="1358"/>
      <c r="D15" s="1359"/>
      <c r="E15" s="1358"/>
      <c r="F15" s="1358"/>
      <c r="G15" s="1449"/>
      <c r="H15" s="1449"/>
      <c r="I15" s="1449"/>
      <c r="J15" s="1449"/>
      <c r="K15" s="1449"/>
    </row>
    <row r="16" spans="1:15" s="1491" customFormat="1">
      <c r="A16" s="74"/>
      <c r="B16" s="1358" t="s">
        <v>542</v>
      </c>
      <c r="C16" s="1358"/>
      <c r="D16" s="1492">
        <f>'Notes 18-39'!D209</f>
        <v>1617106.54</v>
      </c>
      <c r="E16" s="1358"/>
      <c r="F16" s="1492">
        <f>'Notes 18-39'!F209</f>
        <v>866905.8</v>
      </c>
      <c r="G16" s="1449"/>
      <c r="H16" s="1449"/>
      <c r="I16" s="1449"/>
      <c r="J16" s="1449"/>
      <c r="K16" s="1449"/>
      <c r="L16" s="1367"/>
      <c r="M16" s="1490"/>
      <c r="N16" s="1490"/>
      <c r="O16" s="1490"/>
    </row>
    <row r="17" spans="1:16">
      <c r="A17" s="1358"/>
      <c r="B17" s="1358" t="s">
        <v>731</v>
      </c>
      <c r="C17" s="1358"/>
      <c r="D17" s="1492">
        <f>-SUM('Notes 18-39'!D311)</f>
        <v>-1606744.2000000002</v>
      </c>
      <c r="E17" s="1358"/>
      <c r="F17" s="1492">
        <f>-SUM('Notes 18-39'!F311)</f>
        <v>-2312617.1300000004</v>
      </c>
      <c r="G17" s="1449"/>
      <c r="H17" s="1449"/>
      <c r="I17" s="1449"/>
      <c r="J17" s="1449"/>
      <c r="K17" s="1449"/>
    </row>
    <row r="18" spans="1:16">
      <c r="A18" s="1358"/>
      <c r="B18" s="1358"/>
      <c r="C18" s="1358"/>
      <c r="D18" s="1359"/>
      <c r="E18" s="1358"/>
      <c r="F18" s="1358"/>
      <c r="G18" s="1449"/>
      <c r="H18" s="1449"/>
      <c r="I18" s="1449"/>
      <c r="J18" s="1449"/>
      <c r="K18" s="1449"/>
    </row>
    <row r="19" spans="1:16" ht="13.5" thickBot="1">
      <c r="A19" s="1358"/>
      <c r="B19" s="1494" t="s">
        <v>543</v>
      </c>
      <c r="C19" s="1494"/>
      <c r="D19" s="1495">
        <f>SUM(D14:D18)</f>
        <v>25466024.509999972</v>
      </c>
      <c r="E19" s="1494"/>
      <c r="F19" s="1495">
        <f>SUM(F14:F18)</f>
        <v>-5182520.080000015</v>
      </c>
      <c r="G19" s="1242"/>
      <c r="H19" s="1496"/>
      <c r="I19" s="1242"/>
      <c r="J19" s="1242"/>
      <c r="K19" s="1242"/>
    </row>
    <row r="20" spans="1:16" ht="13.5" thickTop="1">
      <c r="A20" s="1358"/>
      <c r="B20" s="1494"/>
      <c r="C20" s="1494"/>
      <c r="D20" s="1612"/>
      <c r="E20" s="1494"/>
      <c r="F20" s="1494"/>
      <c r="G20" s="1242"/>
      <c r="H20" s="1242"/>
      <c r="I20" s="1242"/>
      <c r="J20" s="1242"/>
      <c r="K20" s="1242"/>
    </row>
    <row r="21" spans="1:16">
      <c r="A21" s="1358"/>
      <c r="B21" s="1358"/>
      <c r="C21" s="1358"/>
      <c r="D21" s="1359"/>
      <c r="E21" s="1358"/>
      <c r="F21" s="1358"/>
      <c r="G21" s="1449"/>
      <c r="H21" s="1449"/>
      <c r="I21" s="1449"/>
      <c r="J21" s="1449"/>
      <c r="K21" s="1449"/>
      <c r="L21" s="31" t="s">
        <v>1380</v>
      </c>
      <c r="M21" s="31"/>
      <c r="N21" s="41">
        <f>'Statement of Financial Performa'!F55</f>
        <v>115969562.49000001</v>
      </c>
      <c r="P21" s="1442"/>
    </row>
    <row r="22" spans="1:16">
      <c r="A22" s="74"/>
      <c r="B22" s="74" t="s">
        <v>544</v>
      </c>
      <c r="C22" s="74"/>
      <c r="D22" s="1611"/>
      <c r="E22" s="74"/>
      <c r="F22" s="74"/>
      <c r="G22" s="1242"/>
      <c r="H22" s="1242"/>
      <c r="I22" s="1242"/>
      <c r="J22" s="1242"/>
      <c r="K22" s="1242"/>
      <c r="L22" s="1497" t="s">
        <v>1855</v>
      </c>
      <c r="M22" s="1358"/>
      <c r="N22" s="1358"/>
      <c r="P22" s="1442"/>
    </row>
    <row r="23" spans="1:16">
      <c r="A23" s="1358"/>
      <c r="B23" s="1358"/>
      <c r="C23" s="1358"/>
      <c r="D23" s="1359"/>
      <c r="E23" s="1358"/>
      <c r="F23" s="1358"/>
      <c r="G23" s="1449"/>
      <c r="H23" s="1449"/>
      <c r="I23" s="1449"/>
      <c r="J23" s="1449"/>
      <c r="K23" s="1449"/>
      <c r="L23" s="1290" t="s">
        <v>727</v>
      </c>
      <c r="M23" s="1290"/>
      <c r="N23" s="1498">
        <v>-1273775.51</v>
      </c>
      <c r="P23" s="1442"/>
    </row>
    <row r="24" spans="1:16" s="1491" customFormat="1">
      <c r="A24" s="74"/>
      <c r="B24" s="1358" t="s">
        <v>545</v>
      </c>
      <c r="C24" s="1358"/>
      <c r="D24" s="1359">
        <f>-'Appendix B'!H36-'App B (2)'!C70-'Appendix B'!K28-'Appendix B'!J36</f>
        <v>-16184299.299999999</v>
      </c>
      <c r="E24" s="1358"/>
      <c r="F24" s="1359">
        <f>-'Appendix B'!C36-'App B (2)'!C36</f>
        <v>-12582563.58</v>
      </c>
      <c r="G24" s="1449"/>
      <c r="H24" s="1449"/>
      <c r="I24" s="1449"/>
      <c r="J24" s="1449"/>
      <c r="K24" s="1449"/>
      <c r="L24" s="1290" t="s">
        <v>729</v>
      </c>
      <c r="M24" s="1290"/>
      <c r="N24" s="1498">
        <v>-3321349.56</v>
      </c>
      <c r="O24" s="1490"/>
      <c r="P24" s="1442"/>
    </row>
    <row r="25" spans="1:16" s="1491" customFormat="1">
      <c r="A25" s="74"/>
      <c r="B25" s="1358" t="s">
        <v>546</v>
      </c>
      <c r="C25" s="1358"/>
      <c r="D25" s="1359"/>
      <c r="E25" s="1358"/>
      <c r="F25" s="1359">
        <v>0</v>
      </c>
      <c r="G25" s="1449"/>
      <c r="H25" s="1449"/>
      <c r="I25" s="1449"/>
      <c r="J25" s="1449"/>
      <c r="K25" s="1449"/>
      <c r="L25" s="1290" t="s">
        <v>1568</v>
      </c>
      <c r="M25" s="1290"/>
      <c r="N25" s="1498">
        <f>-'Statement of Financial Performa'!H40</f>
        <v>-188</v>
      </c>
      <c r="O25" s="1490"/>
      <c r="P25" s="1442"/>
    </row>
    <row r="26" spans="1:16" s="1491" customFormat="1">
      <c r="A26" s="74"/>
      <c r="B26" s="1358" t="s">
        <v>1531</v>
      </c>
      <c r="C26" s="1358"/>
      <c r="D26" s="1359"/>
      <c r="E26" s="1358"/>
      <c r="F26" s="1358"/>
      <c r="G26" s="1449"/>
      <c r="H26" s="1449"/>
      <c r="I26" s="1449"/>
      <c r="J26" s="1449"/>
      <c r="K26" s="1449"/>
      <c r="L26" s="1290" t="s">
        <v>1340</v>
      </c>
      <c r="M26" s="1290"/>
      <c r="N26" s="1498">
        <f>-'Statement of Financial Performa'!F53</f>
        <v>-1606744.2000000002</v>
      </c>
      <c r="O26" s="1490"/>
      <c r="P26" s="1442"/>
    </row>
    <row r="27" spans="1:16" s="1491" customFormat="1">
      <c r="A27" s="74"/>
      <c r="B27" s="1358" t="s">
        <v>1532</v>
      </c>
      <c r="C27" s="1358"/>
      <c r="D27" s="1359"/>
      <c r="E27" s="1358"/>
      <c r="F27" s="1358"/>
      <c r="G27" s="1449"/>
      <c r="H27" s="1449"/>
      <c r="I27" s="1449"/>
      <c r="J27" s="1449"/>
      <c r="K27" s="1449"/>
      <c r="L27" s="1409" t="s">
        <v>1710</v>
      </c>
      <c r="M27" s="1499"/>
      <c r="N27" s="1498">
        <f>-'Statement of Financial Performa'!F43</f>
        <v>-164865</v>
      </c>
      <c r="O27" s="1490"/>
      <c r="P27" s="1442"/>
    </row>
    <row r="28" spans="1:16">
      <c r="A28" s="1358"/>
      <c r="B28" s="1358" t="s">
        <v>1533</v>
      </c>
      <c r="C28" s="1358"/>
      <c r="D28" s="1359">
        <v>0</v>
      </c>
      <c r="E28" s="1358"/>
      <c r="F28" s="1358"/>
      <c r="G28" s="1449"/>
      <c r="H28" s="1449"/>
      <c r="I28" s="1449"/>
      <c r="J28" s="1449"/>
      <c r="K28" s="1449"/>
      <c r="L28" s="1290" t="s">
        <v>1860</v>
      </c>
      <c r="M28" s="1499"/>
      <c r="N28" s="1498">
        <f>-'Statement of Financial Performa'!F44</f>
        <v>-419890.57</v>
      </c>
      <c r="P28" s="1442"/>
    </row>
    <row r="29" spans="1:16">
      <c r="A29" s="1358"/>
      <c r="B29" s="1358"/>
      <c r="C29" s="1358"/>
      <c r="D29" s="1359"/>
      <c r="E29" s="1358"/>
      <c r="F29" s="1358"/>
      <c r="G29" s="1449"/>
      <c r="H29" s="1449"/>
      <c r="I29" s="1449"/>
      <c r="J29" s="1449"/>
      <c r="K29" s="1449"/>
      <c r="L29" s="1290" t="s">
        <v>733</v>
      </c>
      <c r="M29" s="1499"/>
      <c r="N29" s="1498">
        <f>-'Statement of Financial Performa'!F48</f>
        <v>-1932.0300000000279</v>
      </c>
      <c r="P29" s="1442"/>
    </row>
    <row r="30" spans="1:16" ht="13.5" thickBot="1">
      <c r="A30" s="1358"/>
      <c r="B30" s="1494" t="s">
        <v>344</v>
      </c>
      <c r="C30" s="1494"/>
      <c r="D30" s="1495">
        <f>SUM(D24:D28)</f>
        <v>-16184299.299999999</v>
      </c>
      <c r="E30" s="1494"/>
      <c r="F30" s="1495">
        <f>SUM(F24:F28)</f>
        <v>-12582563.58</v>
      </c>
      <c r="G30" s="1242"/>
      <c r="H30" s="1242"/>
      <c r="I30" s="1242"/>
      <c r="J30" s="1242"/>
      <c r="K30" s="1242"/>
      <c r="L30" s="1290" t="s">
        <v>2787</v>
      </c>
      <c r="M30" s="1499"/>
      <c r="N30" s="1498"/>
      <c r="P30" s="1442"/>
    </row>
    <row r="31" spans="1:16" ht="13.5" thickTop="1">
      <c r="A31" s="1358"/>
      <c r="B31" s="1494"/>
      <c r="C31" s="1494"/>
      <c r="D31" s="1612"/>
      <c r="E31" s="1494"/>
      <c r="F31" s="1494"/>
      <c r="G31" s="1242"/>
      <c r="H31" s="1242"/>
      <c r="I31" s="1242"/>
      <c r="J31" s="1242"/>
      <c r="K31" s="1242"/>
      <c r="L31" s="74" t="s">
        <v>1112</v>
      </c>
      <c r="M31" s="1293"/>
      <c r="N31" s="1500">
        <f>SUM(N21:N30)</f>
        <v>109180817.62</v>
      </c>
      <c r="P31" s="1442"/>
    </row>
    <row r="32" spans="1:16">
      <c r="A32" s="1358"/>
      <c r="B32" s="1358"/>
      <c r="C32" s="1358"/>
      <c r="D32" s="1359"/>
      <c r="E32" s="1358"/>
      <c r="F32" s="1358"/>
      <c r="G32" s="1449"/>
      <c r="H32" s="1449"/>
      <c r="I32" s="1449"/>
      <c r="J32" s="1449"/>
      <c r="K32" s="1449"/>
      <c r="L32" s="1442"/>
      <c r="M32" s="1442"/>
      <c r="N32" s="1442"/>
      <c r="P32" s="1442"/>
    </row>
    <row r="33" spans="1:15" s="1491" customFormat="1">
      <c r="A33" s="74"/>
      <c r="B33" s="74" t="s">
        <v>345</v>
      </c>
      <c r="C33" s="74"/>
      <c r="D33" s="1611"/>
      <c r="E33" s="74"/>
      <c r="F33" s="74"/>
      <c r="G33" s="1242"/>
      <c r="H33" s="1242"/>
      <c r="I33" s="1242"/>
      <c r="J33" s="1242"/>
      <c r="K33" s="1242"/>
      <c r="L33" s="1442"/>
      <c r="M33" s="1442"/>
      <c r="N33" s="1442"/>
      <c r="O33" s="1490"/>
    </row>
    <row r="34" spans="1:15">
      <c r="A34" s="1358"/>
      <c r="B34" s="1358"/>
      <c r="C34" s="1358"/>
      <c r="D34" s="1359"/>
      <c r="E34" s="1358"/>
      <c r="F34" s="1358"/>
      <c r="G34" s="1449"/>
      <c r="H34" s="1449"/>
      <c r="I34" s="1449"/>
      <c r="J34" s="1449"/>
      <c r="K34" s="1449"/>
    </row>
    <row r="35" spans="1:15" s="1491" customFormat="1">
      <c r="A35" s="74"/>
      <c r="B35" s="1440" t="s">
        <v>1727</v>
      </c>
      <c r="C35" s="1440"/>
      <c r="D35" s="1441">
        <f>-'Statement of Financial Position'!F14-'Statement of Financial Position'!F23</f>
        <v>-4266288.08</v>
      </c>
      <c r="E35" s="1440"/>
      <c r="F35" s="1492">
        <v>-2134271.0799999991</v>
      </c>
      <c r="G35" s="1449"/>
      <c r="H35" s="1449"/>
      <c r="I35" s="1449"/>
      <c r="J35" s="1449"/>
      <c r="K35" s="1449"/>
      <c r="L35" s="1367"/>
      <c r="M35" s="1367"/>
      <c r="N35" s="1367"/>
      <c r="O35" s="1490"/>
    </row>
    <row r="36" spans="1:15">
      <c r="A36" s="1358"/>
      <c r="B36" s="1440" t="s">
        <v>2831</v>
      </c>
      <c r="C36" s="1440"/>
      <c r="D36" s="1441"/>
      <c r="E36" s="1440"/>
      <c r="F36" s="1492">
        <v>968808.27</v>
      </c>
      <c r="G36" s="1449"/>
      <c r="H36" s="1449"/>
      <c r="I36" s="1449"/>
      <c r="J36" s="1449"/>
      <c r="K36" s="1449"/>
    </row>
    <row r="37" spans="1:15">
      <c r="A37" s="1358"/>
      <c r="B37" s="1480" t="s">
        <v>2832</v>
      </c>
      <c r="C37" s="1480"/>
      <c r="D37" s="1504"/>
      <c r="E37" s="1480"/>
      <c r="F37" s="1492">
        <v>1507829.69</v>
      </c>
      <c r="G37" s="1449"/>
      <c r="H37" s="1449"/>
      <c r="I37" s="1449"/>
      <c r="J37" s="1449"/>
      <c r="K37" s="1449"/>
      <c r="L37" s="1491" t="s">
        <v>724</v>
      </c>
      <c r="M37" s="1501"/>
      <c r="N37" s="1501">
        <f>'Statement of Financial Performa'!F29</f>
        <v>131167888.14999999</v>
      </c>
    </row>
    <row r="38" spans="1:15">
      <c r="A38" s="1358"/>
      <c r="B38" s="1480" t="s">
        <v>2833</v>
      </c>
      <c r="C38" s="1480"/>
      <c r="D38" s="1504">
        <f>-'Note 11-14'!D78+56</f>
        <v>-14261.989999999998</v>
      </c>
      <c r="E38" s="1480"/>
      <c r="F38" s="1498">
        <v>4003.5400000000373</v>
      </c>
      <c r="G38" s="1449"/>
      <c r="H38" s="1449"/>
      <c r="I38" s="1449"/>
      <c r="J38" s="1449"/>
      <c r="K38" s="1449"/>
      <c r="L38" s="1502" t="s">
        <v>1856</v>
      </c>
      <c r="M38" s="1503"/>
      <c r="N38" s="1503"/>
    </row>
    <row r="39" spans="1:15">
      <c r="A39" s="1358"/>
      <c r="B39" s="1480" t="s">
        <v>2834</v>
      </c>
      <c r="C39" s="1480"/>
      <c r="D39" s="1504">
        <v>0</v>
      </c>
      <c r="E39" s="1480"/>
      <c r="F39" s="1498">
        <v>28802.17</v>
      </c>
      <c r="G39" s="1449"/>
      <c r="H39" s="1449"/>
      <c r="I39" s="1449"/>
      <c r="J39" s="1449"/>
      <c r="K39" s="1449"/>
      <c r="L39" s="1293" t="s">
        <v>1335</v>
      </c>
      <c r="M39" s="1505"/>
      <c r="N39" s="1505">
        <f>-'Statement of Financial Performa'!F26</f>
        <v>-169601.97999999998</v>
      </c>
    </row>
    <row r="40" spans="1:15">
      <c r="A40" s="1358"/>
      <c r="B40" s="1480" t="s">
        <v>2837</v>
      </c>
      <c r="C40" s="1480"/>
      <c r="D40" s="1504"/>
      <c r="E40" s="1480"/>
      <c r="F40" s="1492">
        <v>10753378.010000005</v>
      </c>
      <c r="G40" s="1449"/>
      <c r="H40" s="1449"/>
      <c r="I40" s="1449"/>
      <c r="J40" s="1449"/>
      <c r="K40" s="1449"/>
      <c r="L40" s="1293" t="s">
        <v>717</v>
      </c>
      <c r="M40" s="1505"/>
      <c r="N40" s="1505">
        <f>-'Statement of Financial Performa'!F27</f>
        <v>-1447504.56</v>
      </c>
    </row>
    <row r="41" spans="1:15">
      <c r="A41" s="1358"/>
      <c r="B41" s="1480" t="s">
        <v>2836</v>
      </c>
      <c r="C41" s="1480"/>
      <c r="D41" s="1504"/>
      <c r="E41" s="1480"/>
      <c r="F41" s="1492">
        <v>2680303.5199999986</v>
      </c>
      <c r="G41" s="1449"/>
      <c r="H41" s="1449"/>
      <c r="I41" s="1449"/>
      <c r="J41" s="1449"/>
      <c r="K41" s="1449"/>
      <c r="L41" s="1293" t="s">
        <v>1857</v>
      </c>
      <c r="M41" s="1505"/>
      <c r="N41" s="1505">
        <v>0</v>
      </c>
    </row>
    <row r="42" spans="1:15" ht="25.5">
      <c r="A42" s="1358"/>
      <c r="B42" s="1414" t="s">
        <v>2835</v>
      </c>
      <c r="C42" s="1414"/>
      <c r="D42" s="1461"/>
      <c r="E42" s="1414"/>
      <c r="F42" s="1492">
        <v>4048928.0399999991</v>
      </c>
      <c r="G42" s="1449"/>
      <c r="H42" s="1449"/>
      <c r="I42" s="1449"/>
      <c r="J42" s="1449"/>
      <c r="K42" s="1449"/>
      <c r="L42" s="1293" t="s">
        <v>1858</v>
      </c>
      <c r="M42" s="1505"/>
      <c r="N42" s="1505">
        <f>-'Statement of Financial Performa'!F13</f>
        <v>-943941.6399999999</v>
      </c>
    </row>
    <row r="43" spans="1:15">
      <c r="A43" s="1358"/>
      <c r="B43" s="1358"/>
      <c r="C43" s="1358"/>
      <c r="D43" s="1359"/>
      <c r="E43" s="1358"/>
      <c r="F43" s="1358"/>
      <c r="G43" s="1449"/>
      <c r="H43" s="1449"/>
      <c r="I43" s="1449"/>
      <c r="J43" s="1449"/>
      <c r="K43" s="1449"/>
      <c r="L43" s="1290" t="s">
        <v>1859</v>
      </c>
      <c r="M43" s="1499"/>
      <c r="N43" s="1498">
        <v>0</v>
      </c>
    </row>
    <row r="44" spans="1:15" ht="13.5" thickBot="1">
      <c r="A44" s="1358"/>
      <c r="B44" s="1494" t="s">
        <v>347</v>
      </c>
      <c r="C44" s="1494"/>
      <c r="D44" s="1495">
        <f>SUM(D35:D42)</f>
        <v>-4280550.07</v>
      </c>
      <c r="E44" s="1494"/>
      <c r="F44" s="1495">
        <f>SUM(F35:F42)</f>
        <v>17857782.160000004</v>
      </c>
      <c r="G44" s="1242"/>
      <c r="H44" s="1242"/>
      <c r="I44" s="1242"/>
      <c r="J44" s="1242"/>
      <c r="K44" s="1242"/>
      <c r="L44" s="1293" t="s">
        <v>1861</v>
      </c>
      <c r="M44" s="1293"/>
      <c r="N44" s="1505">
        <v>0</v>
      </c>
    </row>
    <row r="45" spans="1:15" ht="13.5" thickTop="1">
      <c r="A45" s="1358"/>
      <c r="B45" s="1494"/>
      <c r="C45" s="1494"/>
      <c r="D45" s="1612"/>
      <c r="E45" s="1494"/>
      <c r="F45" s="1494"/>
      <c r="G45" s="1242"/>
      <c r="H45" s="1242"/>
      <c r="I45" s="1242"/>
      <c r="J45" s="1242"/>
      <c r="K45" s="1242"/>
      <c r="L45" s="1480" t="s">
        <v>542</v>
      </c>
      <c r="N45" s="1367">
        <v>0</v>
      </c>
    </row>
    <row r="46" spans="1:15">
      <c r="A46" s="1358"/>
      <c r="B46" s="1494"/>
      <c r="C46" s="1494"/>
      <c r="D46" s="1612"/>
      <c r="E46" s="1494"/>
      <c r="F46" s="1494"/>
      <c r="G46" s="1242"/>
      <c r="H46" s="1242"/>
      <c r="I46" s="1242"/>
      <c r="J46" s="1242"/>
      <c r="K46" s="1242"/>
      <c r="L46" s="1290" t="s">
        <v>1859</v>
      </c>
      <c r="M46" s="1293"/>
      <c r="N46" s="1505">
        <v>0</v>
      </c>
    </row>
    <row r="47" spans="1:15">
      <c r="A47" s="1358"/>
      <c r="B47" s="1358"/>
      <c r="C47" s="1358"/>
      <c r="D47" s="1359"/>
      <c r="E47" s="1358"/>
      <c r="F47" s="1358"/>
      <c r="G47" s="1449"/>
      <c r="H47" s="1449"/>
      <c r="I47" s="1449"/>
      <c r="J47" s="1449"/>
      <c r="K47" s="1449"/>
      <c r="L47" s="74" t="s">
        <v>1534</v>
      </c>
      <c r="M47" s="1491"/>
      <c r="N47" s="1506">
        <f>SUM(N37:N46)</f>
        <v>128606839.96999998</v>
      </c>
    </row>
    <row r="48" spans="1:15" ht="13.5" thickBot="1">
      <c r="A48" s="1358"/>
      <c r="B48" s="74" t="s">
        <v>348</v>
      </c>
      <c r="C48" s="74"/>
      <c r="D48" s="1495">
        <f>+D44+D30+D19</f>
        <v>5001175.1399999745</v>
      </c>
      <c r="E48" s="74"/>
      <c r="F48" s="1495">
        <f>+F44+F30+F19</f>
        <v>92698.499999988824</v>
      </c>
      <c r="G48" s="1449"/>
      <c r="H48" s="1449"/>
      <c r="I48" s="1449"/>
      <c r="J48" s="1449"/>
      <c r="K48" s="1449"/>
      <c r="L48" s="1293"/>
      <c r="M48" s="1293"/>
      <c r="N48" s="1293" t="s">
        <v>36</v>
      </c>
    </row>
    <row r="49" spans="1:14" ht="13.5" thickTop="1">
      <c r="A49" s="74"/>
      <c r="B49" s="1358"/>
      <c r="C49" s="1358"/>
      <c r="D49" s="1359"/>
      <c r="E49" s="1358"/>
      <c r="F49" s="1358"/>
      <c r="G49" s="1449"/>
      <c r="H49" s="1449"/>
      <c r="I49" s="1449"/>
      <c r="J49" s="1449"/>
      <c r="K49" s="1449"/>
      <c r="N49" s="1367" t="s">
        <v>36</v>
      </c>
    </row>
    <row r="50" spans="1:14">
      <c r="A50" s="74"/>
      <c r="B50" s="1440" t="s">
        <v>349</v>
      </c>
      <c r="C50" s="1440"/>
      <c r="D50" s="1441">
        <f>F51</f>
        <v>1105974.17</v>
      </c>
      <c r="E50" s="1440"/>
      <c r="F50" s="1507">
        <v>1013275</v>
      </c>
      <c r="G50" s="1449"/>
      <c r="H50" s="1449"/>
      <c r="I50" s="1449"/>
      <c r="J50" s="1449"/>
      <c r="K50" s="1449"/>
    </row>
    <row r="51" spans="1:14">
      <c r="A51" s="74"/>
      <c r="B51" s="1440" t="s">
        <v>350</v>
      </c>
      <c r="C51" s="1440">
        <v>17</v>
      </c>
      <c r="D51" s="1507">
        <f>+'Statement of Financial Position'!C42</f>
        <v>6107149.3299999982</v>
      </c>
      <c r="E51" s="1440"/>
      <c r="F51" s="1507">
        <f>+'Statement of Financial Position'!E42</f>
        <v>1105974.17</v>
      </c>
      <c r="G51" s="1449"/>
      <c r="H51" s="1449"/>
      <c r="I51" s="1449"/>
      <c r="J51" s="1449"/>
      <c r="K51" s="1449"/>
    </row>
    <row r="52" spans="1:14">
      <c r="A52" s="74"/>
      <c r="B52" s="1358"/>
      <c r="C52" s="1358"/>
      <c r="D52" s="1359"/>
      <c r="E52" s="1358"/>
      <c r="F52" s="1358"/>
      <c r="G52" s="1449"/>
      <c r="H52" s="1449"/>
      <c r="I52" s="1449"/>
      <c r="J52" s="1449"/>
      <c r="K52" s="1449"/>
    </row>
    <row r="54" spans="1:14">
      <c r="D54" s="1367">
        <f>+D50-D51</f>
        <v>-5001175.1599999983</v>
      </c>
      <c r="F54" s="1367">
        <f>+F50-F51</f>
        <v>-92699.169999999925</v>
      </c>
    </row>
    <row r="56" spans="1:14">
      <c r="D56" s="1367">
        <f>+D48+D54</f>
        <v>-2.0000023767352104E-2</v>
      </c>
      <c r="F56" s="1367">
        <f>+F48+F54</f>
        <v>-0.67000001110136509</v>
      </c>
    </row>
    <row r="57" spans="1:14">
      <c r="B57" s="1508"/>
      <c r="C57" s="1508"/>
      <c r="E57" s="1508"/>
      <c r="F57" s="1508"/>
    </row>
    <row r="59" spans="1:14">
      <c r="B59" s="1508"/>
      <c r="C59" s="1508"/>
      <c r="E59" s="1508"/>
      <c r="F59" s="1508"/>
    </row>
    <row r="61" spans="1:14">
      <c r="A61" s="1509"/>
    </row>
    <row r="62" spans="1:14">
      <c r="A62" s="1510"/>
      <c r="F62" s="1505"/>
    </row>
    <row r="63" spans="1:14">
      <c r="A63" s="1510"/>
    </row>
    <row r="64" spans="1:14">
      <c r="A64" s="1510"/>
    </row>
    <row r="65" spans="1:16">
      <c r="A65" s="1510"/>
    </row>
    <row r="66" spans="1:16">
      <c r="A66" s="1510"/>
    </row>
    <row r="70" spans="1:16">
      <c r="B70" s="1491"/>
      <c r="C70" s="1491"/>
      <c r="D70" s="1490"/>
      <c r="E70" s="1491"/>
      <c r="F70" s="1491"/>
      <c r="G70" s="1511"/>
      <c r="H70" s="1511"/>
      <c r="I70" s="1511"/>
      <c r="J70" s="1511"/>
      <c r="K70" s="1511"/>
    </row>
    <row r="71" spans="1:16">
      <c r="B71" s="1491"/>
      <c r="C71" s="1491"/>
      <c r="D71" s="1490"/>
      <c r="E71" s="1491"/>
      <c r="F71" s="1491"/>
      <c r="G71" s="1511"/>
      <c r="H71" s="1511"/>
      <c r="I71" s="1511"/>
      <c r="J71" s="1511"/>
      <c r="K71" s="1511"/>
    </row>
    <row r="72" spans="1:16">
      <c r="B72" s="1491"/>
      <c r="C72" s="1491"/>
      <c r="D72" s="1490"/>
      <c r="E72" s="1491"/>
      <c r="F72" s="1491"/>
      <c r="G72" s="1511"/>
      <c r="H72" s="1511"/>
      <c r="I72" s="1511"/>
      <c r="J72" s="1511"/>
      <c r="K72" s="1511"/>
      <c r="P72" s="1505"/>
    </row>
    <row r="73" spans="1:16">
      <c r="B73" s="1491"/>
      <c r="C73" s="1491"/>
      <c r="D73" s="1490"/>
      <c r="E73" s="1491"/>
      <c r="F73" s="1491"/>
      <c r="G73" s="1511"/>
      <c r="H73" s="1511"/>
      <c r="I73" s="1511"/>
      <c r="J73" s="1511"/>
      <c r="K73" s="1511"/>
      <c r="P73" s="1505"/>
    </row>
    <row r="74" spans="1:16">
      <c r="B74" s="1491"/>
      <c r="C74" s="1491"/>
      <c r="D74" s="1490"/>
      <c r="E74" s="1491"/>
      <c r="F74" s="1491"/>
      <c r="G74" s="1511"/>
      <c r="H74" s="1511"/>
      <c r="I74" s="1511"/>
      <c r="J74" s="1511"/>
      <c r="K74" s="1511"/>
      <c r="P74" s="1505"/>
    </row>
    <row r="75" spans="1:16">
      <c r="B75" s="1491"/>
      <c r="C75" s="1491"/>
      <c r="D75" s="1490"/>
      <c r="E75" s="1491"/>
      <c r="F75" s="1491"/>
      <c r="G75" s="1511"/>
      <c r="H75" s="1511"/>
      <c r="I75" s="1511"/>
      <c r="J75" s="1511"/>
      <c r="K75" s="1511"/>
    </row>
    <row r="76" spans="1:16">
      <c r="B76" s="1491"/>
      <c r="C76" s="1491"/>
      <c r="D76" s="1490"/>
      <c r="E76" s="1491"/>
      <c r="F76" s="1491"/>
      <c r="G76" s="1511"/>
      <c r="H76" s="1511"/>
      <c r="I76" s="1511"/>
      <c r="J76" s="1511"/>
      <c r="K76" s="1511"/>
    </row>
    <row r="77" spans="1:16">
      <c r="B77" s="1491"/>
      <c r="C77" s="1491"/>
      <c r="D77" s="1490"/>
      <c r="E77" s="1491"/>
      <c r="F77" s="1491"/>
      <c r="G77" s="1511"/>
      <c r="H77" s="1511"/>
      <c r="I77" s="1511"/>
      <c r="J77" s="1511"/>
      <c r="K77" s="1511"/>
    </row>
    <row r="78" spans="1:16">
      <c r="B78" s="1491"/>
      <c r="C78" s="1491"/>
      <c r="D78" s="1490"/>
      <c r="E78" s="1491"/>
      <c r="F78" s="1491"/>
      <c r="G78" s="1511"/>
      <c r="H78" s="1511"/>
      <c r="I78" s="1511"/>
      <c r="J78" s="1511"/>
      <c r="K78" s="1511"/>
    </row>
    <row r="79" spans="1:16">
      <c r="B79" s="1491"/>
      <c r="C79" s="1491"/>
      <c r="D79" s="1490"/>
      <c r="E79" s="1491"/>
      <c r="F79" s="1491"/>
      <c r="G79" s="1511"/>
      <c r="H79" s="1511"/>
      <c r="I79" s="1511"/>
      <c r="J79" s="1511"/>
      <c r="K79" s="1511"/>
    </row>
    <row r="80" spans="1:16">
      <c r="B80" s="1491"/>
      <c r="C80" s="1491"/>
      <c r="D80" s="1490"/>
      <c r="E80" s="1491"/>
      <c r="F80" s="1491"/>
      <c r="G80" s="1511"/>
      <c r="H80" s="1511"/>
      <c r="I80" s="1511"/>
      <c r="J80" s="1511"/>
      <c r="K80" s="1511"/>
    </row>
    <row r="81" spans="2:11">
      <c r="B81" s="1491"/>
      <c r="C81" s="1491"/>
      <c r="D81" s="1490"/>
      <c r="E81" s="1491"/>
      <c r="F81" s="1491"/>
      <c r="G81" s="1511"/>
      <c r="H81" s="1511"/>
      <c r="I81" s="1511"/>
      <c r="J81" s="1511"/>
      <c r="K81" s="1511"/>
    </row>
    <row r="82" spans="2:11">
      <c r="B82" s="1491"/>
      <c r="C82" s="1491"/>
      <c r="D82" s="1490"/>
      <c r="E82" s="1491"/>
      <c r="F82" s="1491"/>
      <c r="G82" s="1511"/>
      <c r="H82" s="1511"/>
      <c r="I82" s="1511"/>
      <c r="J82" s="1511"/>
      <c r="K82" s="1511"/>
    </row>
    <row r="83" spans="2:11">
      <c r="B83" s="1491"/>
      <c r="C83" s="1491"/>
      <c r="D83" s="1490"/>
      <c r="E83" s="1491"/>
      <c r="F83" s="1491"/>
      <c r="G83" s="1511"/>
      <c r="H83" s="1511"/>
      <c r="I83" s="1511"/>
      <c r="J83" s="1511"/>
      <c r="K83" s="1511"/>
    </row>
    <row r="84" spans="2:11">
      <c r="B84" s="1491"/>
      <c r="C84" s="1491"/>
      <c r="D84" s="1490"/>
      <c r="E84" s="1491"/>
      <c r="F84" s="1491"/>
      <c r="G84" s="1511"/>
      <c r="H84" s="1511"/>
      <c r="I84" s="1511"/>
      <c r="J84" s="1511"/>
      <c r="K84" s="1511"/>
    </row>
    <row r="85" spans="2:11">
      <c r="B85" s="1491"/>
      <c r="C85" s="1491"/>
      <c r="D85" s="1490"/>
      <c r="E85" s="1491"/>
      <c r="F85" s="1491"/>
      <c r="G85" s="1511"/>
      <c r="H85" s="1511"/>
      <c r="I85" s="1511"/>
      <c r="J85" s="1511"/>
      <c r="K85" s="1511"/>
    </row>
    <row r="86" spans="2:11">
      <c r="B86" s="1491"/>
      <c r="C86" s="1491"/>
      <c r="D86" s="1490"/>
      <c r="E86" s="1491"/>
      <c r="F86" s="1491"/>
      <c r="G86" s="1511"/>
      <c r="H86" s="1511"/>
      <c r="I86" s="1511"/>
      <c r="J86" s="1511"/>
      <c r="K86" s="1511"/>
    </row>
    <row r="87" spans="2:11">
      <c r="B87" s="1491"/>
      <c r="C87" s="1491"/>
      <c r="D87" s="1490"/>
      <c r="E87" s="1491"/>
      <c r="F87" s="1491"/>
      <c r="G87" s="1511"/>
      <c r="H87" s="1511"/>
      <c r="I87" s="1511"/>
      <c r="J87" s="1511"/>
      <c r="K87" s="1511"/>
    </row>
    <row r="88" spans="2:11">
      <c r="B88" s="1491"/>
      <c r="C88" s="1491"/>
      <c r="D88" s="1490"/>
      <c r="E88" s="1491"/>
      <c r="F88" s="1491"/>
      <c r="G88" s="1511"/>
      <c r="H88" s="1511"/>
      <c r="I88" s="1511"/>
      <c r="J88" s="1511"/>
      <c r="K88" s="1511"/>
    </row>
    <row r="89" spans="2:11">
      <c r="B89" s="1491"/>
      <c r="C89" s="1491"/>
      <c r="D89" s="1490"/>
      <c r="E89" s="1491"/>
      <c r="F89" s="1491"/>
      <c r="G89" s="1511"/>
      <c r="H89" s="1511"/>
      <c r="I89" s="1511"/>
      <c r="J89" s="1511"/>
      <c r="K89" s="1511"/>
    </row>
    <row r="90" spans="2:11">
      <c r="B90" s="1491"/>
      <c r="C90" s="1491"/>
      <c r="D90" s="1490"/>
      <c r="E90" s="1491"/>
      <c r="F90" s="1491"/>
      <c r="G90" s="1511"/>
      <c r="H90" s="1511"/>
      <c r="I90" s="1511"/>
      <c r="J90" s="1511"/>
      <c r="K90" s="1511"/>
    </row>
    <row r="91" spans="2:11">
      <c r="B91" s="1491"/>
      <c r="C91" s="1491"/>
      <c r="D91" s="1490"/>
      <c r="E91" s="1491"/>
      <c r="F91" s="1491"/>
      <c r="G91" s="1511"/>
      <c r="H91" s="1511"/>
      <c r="I91" s="1511"/>
      <c r="J91" s="1511"/>
      <c r="K91" s="1511"/>
    </row>
    <row r="92" spans="2:11">
      <c r="B92" s="1491"/>
      <c r="C92" s="1491"/>
      <c r="D92" s="1490"/>
      <c r="E92" s="1491"/>
      <c r="F92" s="1491"/>
      <c r="G92" s="1511"/>
      <c r="H92" s="1511"/>
      <c r="I92" s="1511"/>
      <c r="J92" s="1511"/>
      <c r="K92" s="1511"/>
    </row>
    <row r="93" spans="2:11">
      <c r="B93" s="1491"/>
      <c r="C93" s="1491"/>
      <c r="D93" s="1490"/>
      <c r="E93" s="1491"/>
      <c r="F93" s="1491"/>
      <c r="G93" s="1511"/>
      <c r="H93" s="1511"/>
      <c r="I93" s="1511"/>
      <c r="J93" s="1511"/>
      <c r="K93" s="1511"/>
    </row>
    <row r="94" spans="2:11">
      <c r="B94" s="1491"/>
      <c r="C94" s="1491"/>
      <c r="D94" s="1490"/>
      <c r="E94" s="1491"/>
      <c r="F94" s="1491"/>
      <c r="G94" s="1511"/>
      <c r="H94" s="1511"/>
      <c r="I94" s="1511"/>
      <c r="J94" s="1511"/>
      <c r="K94" s="1511"/>
    </row>
    <row r="95" spans="2:11">
      <c r="B95" s="1491"/>
      <c r="C95" s="1491"/>
      <c r="D95" s="1490"/>
      <c r="E95" s="1491"/>
      <c r="F95" s="1491"/>
      <c r="G95" s="1511"/>
      <c r="H95" s="1511"/>
      <c r="I95" s="1511"/>
      <c r="J95" s="1511"/>
      <c r="K95" s="1511"/>
    </row>
    <row r="96" spans="2:11">
      <c r="B96" s="1491"/>
      <c r="C96" s="1491"/>
      <c r="D96" s="1490"/>
      <c r="E96" s="1491"/>
      <c r="F96" s="1491"/>
      <c r="G96" s="1511"/>
      <c r="H96" s="1511"/>
      <c r="I96" s="1511"/>
      <c r="J96" s="1511"/>
      <c r="K96" s="1511"/>
    </row>
    <row r="97" spans="2:11">
      <c r="B97" s="1491"/>
      <c r="C97" s="1491"/>
      <c r="D97" s="1490"/>
      <c r="E97" s="1491"/>
      <c r="F97" s="1491"/>
      <c r="G97" s="1511"/>
      <c r="H97" s="1511"/>
      <c r="I97" s="1511"/>
      <c r="J97" s="1511"/>
      <c r="K97" s="1511"/>
    </row>
    <row r="98" spans="2:11">
      <c r="B98" s="1491"/>
      <c r="C98" s="1491"/>
      <c r="D98" s="1490"/>
      <c r="E98" s="1491"/>
      <c r="F98" s="1491"/>
      <c r="G98" s="1511"/>
      <c r="H98" s="1511"/>
      <c r="I98" s="1511"/>
      <c r="J98" s="1511"/>
      <c r="K98" s="1511"/>
    </row>
    <row r="99" spans="2:11">
      <c r="B99" s="1491"/>
      <c r="C99" s="1491"/>
      <c r="D99" s="1490"/>
      <c r="E99" s="1491"/>
      <c r="F99" s="1491"/>
      <c r="G99" s="1511"/>
      <c r="H99" s="1511"/>
      <c r="I99" s="1511"/>
      <c r="J99" s="1511"/>
      <c r="K99" s="1511"/>
    </row>
    <row r="100" spans="2:11">
      <c r="B100" s="1491"/>
      <c r="C100" s="1491"/>
      <c r="D100" s="1490"/>
      <c r="E100" s="1491"/>
      <c r="F100" s="1491"/>
      <c r="G100" s="1511"/>
      <c r="H100" s="1511"/>
      <c r="I100" s="1511"/>
      <c r="J100" s="1511"/>
      <c r="K100" s="1511"/>
    </row>
    <row r="101" spans="2:11">
      <c r="B101" s="1491"/>
      <c r="C101" s="1491"/>
      <c r="D101" s="1490"/>
      <c r="E101" s="1491"/>
      <c r="F101" s="1491"/>
      <c r="G101" s="1511"/>
      <c r="H101" s="1511"/>
      <c r="I101" s="1511"/>
      <c r="J101" s="1511"/>
      <c r="K101" s="1511"/>
    </row>
    <row r="102" spans="2:11">
      <c r="B102" s="1491"/>
      <c r="C102" s="1491"/>
      <c r="D102" s="1490"/>
      <c r="E102" s="1491"/>
      <c r="F102" s="1491"/>
      <c r="G102" s="1511"/>
      <c r="H102" s="1511"/>
      <c r="I102" s="1511"/>
      <c r="J102" s="1511"/>
      <c r="K102" s="1511"/>
    </row>
    <row r="103" spans="2:11">
      <c r="B103" s="1491"/>
      <c r="C103" s="1491"/>
      <c r="D103" s="1490"/>
      <c r="E103" s="1491"/>
      <c r="F103" s="1491"/>
      <c r="G103" s="1511"/>
      <c r="H103" s="1511"/>
      <c r="I103" s="1511"/>
      <c r="J103" s="1511"/>
      <c r="K103" s="1511"/>
    </row>
    <row r="104" spans="2:11">
      <c r="B104" s="1491"/>
      <c r="C104" s="1491"/>
      <c r="D104" s="1490"/>
      <c r="E104" s="1491"/>
      <c r="F104" s="1491"/>
      <c r="G104" s="1511"/>
      <c r="H104" s="1511"/>
      <c r="I104" s="1511"/>
      <c r="J104" s="1511"/>
      <c r="K104" s="1511"/>
    </row>
    <row r="105" spans="2:11">
      <c r="B105" s="1491"/>
      <c r="C105" s="1491"/>
      <c r="D105" s="1490"/>
      <c r="E105" s="1491"/>
      <c r="F105" s="1491"/>
      <c r="G105" s="1511"/>
      <c r="H105" s="1511"/>
      <c r="I105" s="1511"/>
      <c r="J105" s="1511"/>
      <c r="K105" s="1511"/>
    </row>
    <row r="106" spans="2:11">
      <c r="B106" s="1491"/>
      <c r="C106" s="1491"/>
      <c r="D106" s="1490"/>
      <c r="E106" s="1491"/>
      <c r="F106" s="1491"/>
      <c r="G106" s="1511"/>
      <c r="H106" s="1511"/>
      <c r="I106" s="1511"/>
      <c r="J106" s="1511"/>
      <c r="K106" s="1511"/>
    </row>
    <row r="107" spans="2:11">
      <c r="B107" s="1491"/>
      <c r="C107" s="1491"/>
      <c r="D107" s="1490"/>
      <c r="E107" s="1491"/>
      <c r="F107" s="1491"/>
      <c r="G107" s="1511"/>
      <c r="H107" s="1511"/>
      <c r="I107" s="1511"/>
      <c r="J107" s="1511"/>
      <c r="K107" s="1511"/>
    </row>
    <row r="108" spans="2:11">
      <c r="B108" s="1491"/>
      <c r="C108" s="1491"/>
      <c r="D108" s="1490"/>
      <c r="E108" s="1491"/>
      <c r="F108" s="1491"/>
      <c r="G108" s="1511"/>
      <c r="H108" s="1511"/>
      <c r="I108" s="1511"/>
      <c r="J108" s="1511"/>
      <c r="K108" s="1511"/>
    </row>
    <row r="109" spans="2:11">
      <c r="B109" s="1491"/>
      <c r="C109" s="1491"/>
      <c r="D109" s="1490"/>
      <c r="E109" s="1491"/>
      <c r="F109" s="1491"/>
      <c r="G109" s="1511"/>
      <c r="H109" s="1511"/>
      <c r="I109" s="1511"/>
      <c r="J109" s="1511"/>
      <c r="K109" s="1511"/>
    </row>
    <row r="110" spans="2:11">
      <c r="B110" s="1491"/>
      <c r="C110" s="1491"/>
      <c r="D110" s="1490"/>
      <c r="E110" s="1491"/>
      <c r="F110" s="1491"/>
      <c r="G110" s="1511"/>
      <c r="H110" s="1511"/>
      <c r="I110" s="1511"/>
      <c r="J110" s="1511"/>
      <c r="K110" s="1511"/>
    </row>
    <row r="111" spans="2:11">
      <c r="B111" s="1491"/>
      <c r="C111" s="1491"/>
      <c r="D111" s="1490"/>
      <c r="E111" s="1491"/>
      <c r="F111" s="1491"/>
      <c r="G111" s="1511"/>
      <c r="H111" s="1511"/>
      <c r="I111" s="1511"/>
      <c r="J111" s="1511"/>
      <c r="K111" s="1511"/>
    </row>
    <row r="112" spans="2:11">
      <c r="B112" s="1491"/>
      <c r="C112" s="1491"/>
      <c r="D112" s="1490"/>
      <c r="E112" s="1491"/>
      <c r="F112" s="1491"/>
      <c r="G112" s="1511"/>
      <c r="H112" s="1511"/>
      <c r="I112" s="1511"/>
      <c r="J112" s="1511"/>
      <c r="K112" s="1511"/>
    </row>
  </sheetData>
  <mergeCells count="3">
    <mergeCell ref="B2:F2"/>
    <mergeCell ref="B3:F3"/>
    <mergeCell ref="B4:F4"/>
  </mergeCells>
  <phoneticPr fontId="0" type="noConversion"/>
  <printOptions horizontalCentered="1"/>
  <pageMargins left="0.6692913385826772" right="0.39370078740157483" top="0.98425196850393704" bottom="0.98425196850393704" header="0.51181102362204722" footer="0.51181102362204722"/>
  <pageSetup scale="98" orientation="portrait" r:id="rId1"/>
  <headerFooter alignWithMargins="0">
    <oddHeader>&amp;C FINANCIAL STATEMENTS: MUSINA LOCAL MUNICIPALITY</oddHeader>
    <oddFooter>&amp;RPage &amp;P</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G113"/>
  <sheetViews>
    <sheetView view="pageBreakPreview" zoomScaleSheetLayoutView="100" workbookViewId="0">
      <selection activeCell="B53" sqref="B53"/>
    </sheetView>
  </sheetViews>
  <sheetFormatPr defaultRowHeight="12.75"/>
  <cols>
    <col min="1" max="1" width="42.42578125" style="216" customWidth="1"/>
    <col min="2" max="2" width="14.42578125" style="216" customWidth="1"/>
    <col min="3" max="3" width="19.140625" style="219" customWidth="1"/>
    <col min="4" max="4" width="17.28515625" style="219" bestFit="1" customWidth="1"/>
    <col min="5" max="5" width="14.5703125" style="220" bestFit="1" customWidth="1"/>
    <col min="6" max="6" width="17.42578125" style="220" bestFit="1" customWidth="1"/>
    <col min="7" max="7" width="17.5703125" style="220" bestFit="1" customWidth="1"/>
    <col min="8" max="16384" width="9.140625" style="216"/>
  </cols>
  <sheetData>
    <row r="1" spans="1:7" ht="13.5" thickTop="1">
      <c r="A1" s="1682" t="s">
        <v>1109</v>
      </c>
      <c r="B1" s="1683"/>
      <c r="C1" s="1683"/>
      <c r="D1" s="1684"/>
      <c r="E1" s="177"/>
      <c r="F1" s="177"/>
      <c r="G1" s="177"/>
    </row>
    <row r="2" spans="1:7">
      <c r="A2" s="1685" t="s">
        <v>2078</v>
      </c>
      <c r="B2" s="1686"/>
      <c r="C2" s="1686"/>
      <c r="D2" s="1687"/>
      <c r="E2" s="177"/>
      <c r="F2" s="177"/>
      <c r="G2" s="177"/>
    </row>
    <row r="3" spans="1:7">
      <c r="A3" s="228"/>
      <c r="B3" s="162"/>
      <c r="C3" s="190"/>
      <c r="D3" s="229"/>
      <c r="E3" s="172"/>
      <c r="F3" s="172"/>
      <c r="G3" s="172"/>
    </row>
    <row r="4" spans="1:7" s="224" customFormat="1" ht="57.75" customHeight="1">
      <c r="A4" s="230"/>
      <c r="B4" s="139" t="s">
        <v>1106</v>
      </c>
      <c r="C4" s="139" t="s">
        <v>1107</v>
      </c>
      <c r="D4" s="139" t="s">
        <v>1108</v>
      </c>
      <c r="E4" s="316"/>
      <c r="F4" s="316"/>
      <c r="G4" s="316"/>
    </row>
    <row r="5" spans="1:7">
      <c r="A5" s="231"/>
      <c r="B5" s="270" t="s">
        <v>1314</v>
      </c>
      <c r="C5" s="270" t="s">
        <v>1314</v>
      </c>
      <c r="D5" s="270" t="s">
        <v>1314</v>
      </c>
    </row>
    <row r="6" spans="1:7" hidden="1">
      <c r="A6" s="232">
        <v>2008</v>
      </c>
      <c r="B6" s="514"/>
      <c r="C6" s="514"/>
      <c r="D6" s="515"/>
    </row>
    <row r="7" spans="1:7" s="162" customFormat="1" hidden="1">
      <c r="A7" s="233" t="s">
        <v>1382</v>
      </c>
      <c r="B7" s="179">
        <v>0</v>
      </c>
      <c r="C7" s="179">
        <v>16257460</v>
      </c>
      <c r="D7" s="234">
        <v>16257460</v>
      </c>
      <c r="E7" s="177" t="s">
        <v>36</v>
      </c>
      <c r="F7" s="177"/>
      <c r="G7" s="177"/>
    </row>
    <row r="8" spans="1:7" hidden="1">
      <c r="A8" s="516" t="s">
        <v>1729</v>
      </c>
      <c r="B8" s="514">
        <v>0</v>
      </c>
      <c r="C8" s="514">
        <v>1023150</v>
      </c>
      <c r="D8" s="515">
        <v>1023150</v>
      </c>
    </row>
    <row r="9" spans="1:7" hidden="1">
      <c r="A9" s="516" t="s">
        <v>1228</v>
      </c>
      <c r="B9" s="514">
        <v>0</v>
      </c>
      <c r="C9" s="514">
        <v>3439197</v>
      </c>
      <c r="D9" s="515">
        <v>3439197</v>
      </c>
    </row>
    <row r="10" spans="1:7" hidden="1">
      <c r="A10" s="516" t="s">
        <v>1730</v>
      </c>
      <c r="B10" s="514">
        <v>0</v>
      </c>
      <c r="C10" s="514">
        <v>640</v>
      </c>
      <c r="D10" s="515">
        <v>640</v>
      </c>
    </row>
    <row r="11" spans="1:7" s="162" customFormat="1" hidden="1">
      <c r="A11" s="233" t="s">
        <v>1383</v>
      </c>
      <c r="B11" s="178">
        <f>SUM(B7:B10)</f>
        <v>0</v>
      </c>
      <c r="C11" s="178">
        <f>SUM(C7:C10)</f>
        <v>20720447</v>
      </c>
      <c r="D11" s="235">
        <f>SUM(D7:D10)</f>
        <v>20720447</v>
      </c>
      <c r="G11" s="177"/>
    </row>
    <row r="12" spans="1:7" hidden="1">
      <c r="A12" s="517" t="s">
        <v>1384</v>
      </c>
      <c r="B12" s="514"/>
      <c r="C12" s="514">
        <v>10925289</v>
      </c>
      <c r="D12" s="515">
        <f>SUM(C12:C12)</f>
        <v>10925289</v>
      </c>
      <c r="E12" s="177"/>
    </row>
    <row r="13" spans="1:7" hidden="1">
      <c r="A13" s="517" t="s">
        <v>1385</v>
      </c>
      <c r="B13" s="514"/>
      <c r="C13" s="514">
        <v>0</v>
      </c>
      <c r="D13" s="515">
        <v>0</v>
      </c>
    </row>
    <row r="14" spans="1:7" hidden="1">
      <c r="A14" s="517" t="s">
        <v>454</v>
      </c>
      <c r="B14" s="514"/>
      <c r="C14" s="514">
        <v>0</v>
      </c>
      <c r="D14" s="515"/>
    </row>
    <row r="15" spans="1:7" hidden="1">
      <c r="A15" s="517" t="s">
        <v>1730</v>
      </c>
      <c r="B15" s="514"/>
      <c r="C15" s="514">
        <v>0</v>
      </c>
      <c r="D15" s="515"/>
    </row>
    <row r="16" spans="1:7" hidden="1">
      <c r="A16" s="517" t="s">
        <v>669</v>
      </c>
      <c r="B16" s="514"/>
      <c r="C16" s="514">
        <v>-1023150</v>
      </c>
      <c r="D16" s="515">
        <v>-1023150</v>
      </c>
    </row>
    <row r="17" spans="1:7" hidden="1">
      <c r="A17" s="517" t="s">
        <v>462</v>
      </c>
      <c r="B17" s="514"/>
      <c r="C17" s="514">
        <v>-1983188</v>
      </c>
      <c r="D17" s="515">
        <f>SUM(C17:C17)</f>
        <v>-1983188</v>
      </c>
    </row>
    <row r="18" spans="1:7" hidden="1">
      <c r="A18" s="517" t="s">
        <v>670</v>
      </c>
      <c r="B18" s="514"/>
      <c r="C18" s="514">
        <v>-199737</v>
      </c>
      <c r="D18" s="515">
        <f>SUM(C18:C18)</f>
        <v>-199737</v>
      </c>
    </row>
    <row r="19" spans="1:7" hidden="1">
      <c r="A19" s="517" t="s">
        <v>1434</v>
      </c>
      <c r="B19" s="514"/>
      <c r="C19" s="514">
        <v>43480</v>
      </c>
      <c r="D19" s="515">
        <f>SUM(C19:C19)</f>
        <v>43480</v>
      </c>
    </row>
    <row r="20" spans="1:7" hidden="1">
      <c r="A20" s="517" t="s">
        <v>1434</v>
      </c>
      <c r="B20" s="514"/>
      <c r="C20" s="514">
        <v>0</v>
      </c>
      <c r="D20" s="515">
        <v>0</v>
      </c>
    </row>
    <row r="21" spans="1:7" hidden="1">
      <c r="A21" s="517" t="s">
        <v>668</v>
      </c>
      <c r="B21" s="514">
        <v>82528503</v>
      </c>
      <c r="C21" s="514">
        <v>0</v>
      </c>
      <c r="D21" s="515">
        <v>82528503</v>
      </c>
    </row>
    <row r="22" spans="1:7" hidden="1">
      <c r="A22" s="517" t="s">
        <v>1386</v>
      </c>
      <c r="B22" s="514"/>
      <c r="C22" s="514">
        <v>0</v>
      </c>
      <c r="D22" s="515">
        <v>0</v>
      </c>
    </row>
    <row r="23" spans="1:7" s="162" customFormat="1" ht="13.5" hidden="1" thickBot="1">
      <c r="A23" s="233" t="s">
        <v>1528</v>
      </c>
      <c r="B23" s="191">
        <f>SUM(B11:B22)</f>
        <v>82528503</v>
      </c>
      <c r="C23" s="191">
        <f>SUM(C11:C22)</f>
        <v>28483141</v>
      </c>
      <c r="D23" s="236">
        <f>SUM(D11:D22)</f>
        <v>111011644</v>
      </c>
      <c r="E23" s="177"/>
      <c r="F23" s="177"/>
      <c r="G23" s="177"/>
    </row>
    <row r="24" spans="1:7" ht="13.5" hidden="1" thickTop="1">
      <c r="A24" s="233"/>
      <c r="B24" s="514"/>
      <c r="C24" s="514"/>
      <c r="D24" s="515"/>
    </row>
    <row r="25" spans="1:7" hidden="1">
      <c r="A25" s="232">
        <v>2009</v>
      </c>
      <c r="B25" s="514"/>
      <c r="C25" s="514"/>
      <c r="D25" s="515"/>
    </row>
    <row r="26" spans="1:7" hidden="1">
      <c r="A26" s="517" t="s">
        <v>1746</v>
      </c>
      <c r="B26" s="514">
        <v>0</v>
      </c>
      <c r="C26" s="514">
        <v>0</v>
      </c>
      <c r="D26" s="515">
        <f>SUM(C26:C26)</f>
        <v>0</v>
      </c>
    </row>
    <row r="27" spans="1:7" hidden="1">
      <c r="A27" s="517" t="s">
        <v>1387</v>
      </c>
      <c r="B27" s="514">
        <v>0</v>
      </c>
      <c r="C27" s="514">
        <v>0</v>
      </c>
      <c r="D27" s="515">
        <f>SUM(C27:C27)</f>
        <v>0</v>
      </c>
    </row>
    <row r="28" spans="1:7" ht="13.5" hidden="1" thickBot="1">
      <c r="A28" s="233" t="s">
        <v>1383</v>
      </c>
      <c r="B28" s="191">
        <f>SUM(B23:B27)</f>
        <v>82528503</v>
      </c>
      <c r="C28" s="191">
        <f>SUM(C23:C27)</f>
        <v>28483141</v>
      </c>
      <c r="D28" s="236">
        <f>SUM(D23:D27)</f>
        <v>111011644</v>
      </c>
      <c r="E28" s="163"/>
    </row>
    <row r="29" spans="1:7" ht="13.5" hidden="1" thickTop="1">
      <c r="A29" s="518" t="s">
        <v>1384</v>
      </c>
      <c r="B29" s="514">
        <v>0</v>
      </c>
      <c r="C29" s="514">
        <v>76525049</v>
      </c>
      <c r="D29" s="515">
        <f>SUM(C29:C29)</f>
        <v>76525049</v>
      </c>
      <c r="E29" s="219"/>
    </row>
    <row r="30" spans="1:7" hidden="1">
      <c r="A30" s="518" t="s">
        <v>1749</v>
      </c>
      <c r="B30" s="514">
        <v>0</v>
      </c>
      <c r="C30" s="514">
        <v>-1488298.77</v>
      </c>
      <c r="D30" s="515">
        <v>-1488298.77</v>
      </c>
    </row>
    <row r="31" spans="1:7" hidden="1">
      <c r="A31" s="518" t="s">
        <v>1535</v>
      </c>
      <c r="B31" s="514">
        <v>0</v>
      </c>
      <c r="C31" s="514">
        <v>0</v>
      </c>
      <c r="D31" s="515">
        <f>SUM(C31:C31)</f>
        <v>0</v>
      </c>
    </row>
    <row r="32" spans="1:7" hidden="1">
      <c r="A32" s="518" t="s">
        <v>1385</v>
      </c>
      <c r="B32" s="514">
        <v>0</v>
      </c>
      <c r="C32" s="514">
        <v>7237306.0499999998</v>
      </c>
      <c r="D32" s="515">
        <v>7237306</v>
      </c>
    </row>
    <row r="33" spans="1:6" ht="25.5" hidden="1">
      <c r="A33" s="519" t="s">
        <v>1753</v>
      </c>
      <c r="B33" s="514">
        <v>0</v>
      </c>
      <c r="C33" s="514">
        <v>-7237306.0499999998</v>
      </c>
      <c r="D33" s="515">
        <v>-7237306</v>
      </c>
    </row>
    <row r="34" spans="1:6" hidden="1">
      <c r="A34" s="518" t="s">
        <v>1536</v>
      </c>
      <c r="B34" s="514">
        <v>0</v>
      </c>
      <c r="C34" s="514">
        <v>0</v>
      </c>
      <c r="D34" s="515">
        <f>SUM(C34:C34)</f>
        <v>0</v>
      </c>
    </row>
    <row r="35" spans="1:6" hidden="1">
      <c r="A35" s="518" t="s">
        <v>1538</v>
      </c>
      <c r="B35" s="514">
        <v>0</v>
      </c>
      <c r="C35" s="514">
        <v>0</v>
      </c>
      <c r="D35" s="515">
        <f>SUM(C35:C35)</f>
        <v>0</v>
      </c>
    </row>
    <row r="36" spans="1:6" hidden="1">
      <c r="A36" s="518" t="s">
        <v>1537</v>
      </c>
      <c r="B36" s="514">
        <v>0</v>
      </c>
      <c r="C36" s="514">
        <v>0</v>
      </c>
      <c r="D36" s="515">
        <f>SUM(C36:C36)</f>
        <v>0</v>
      </c>
    </row>
    <row r="37" spans="1:6" hidden="1">
      <c r="A37" s="518" t="s">
        <v>1386</v>
      </c>
      <c r="B37" s="514">
        <v>0</v>
      </c>
      <c r="C37" s="514">
        <v>0</v>
      </c>
      <c r="D37" s="515">
        <f>SUM(C37:C37)</f>
        <v>0</v>
      </c>
    </row>
    <row r="38" spans="1:6" hidden="1">
      <c r="A38" s="237" t="s">
        <v>1467</v>
      </c>
      <c r="B38" s="178">
        <f>SUM(B28:B37)</f>
        <v>82528503</v>
      </c>
      <c r="C38" s="178">
        <f>SUM(C28:C37)+2</f>
        <v>103519893.23</v>
      </c>
      <c r="D38" s="235">
        <f>SUM(D28:D37)</f>
        <v>186048394.22999999</v>
      </c>
    </row>
    <row r="39" spans="1:6" hidden="1">
      <c r="A39" s="520"/>
      <c r="D39" s="521"/>
    </row>
    <row r="40" spans="1:6">
      <c r="A40" s="520"/>
      <c r="D40" s="521" t="s">
        <v>36</v>
      </c>
    </row>
    <row r="41" spans="1:6">
      <c r="A41" s="232">
        <v>2010</v>
      </c>
      <c r="B41" s="522"/>
      <c r="C41" s="522"/>
      <c r="D41" s="523"/>
    </row>
    <row r="42" spans="1:6">
      <c r="A42" s="517" t="s">
        <v>1746</v>
      </c>
      <c r="B42" s="514">
        <v>0</v>
      </c>
      <c r="C42" s="514">
        <v>0</v>
      </c>
      <c r="D42" s="515">
        <f>SUM(C42:C42)</f>
        <v>0</v>
      </c>
    </row>
    <row r="43" spans="1:6">
      <c r="A43" s="517" t="s">
        <v>1387</v>
      </c>
      <c r="B43" s="514">
        <v>0</v>
      </c>
      <c r="C43" s="514">
        <v>0</v>
      </c>
      <c r="D43" s="515">
        <f>SUM(C43:C43)</f>
        <v>0</v>
      </c>
    </row>
    <row r="44" spans="1:6" ht="13.5" thickBot="1">
      <c r="A44" s="233" t="s">
        <v>1383</v>
      </c>
      <c r="B44" s="191">
        <v>82528503</v>
      </c>
      <c r="C44" s="191">
        <f>C38</f>
        <v>103519893.23</v>
      </c>
      <c r="D44" s="236">
        <f>D38</f>
        <v>186048394.22999999</v>
      </c>
    </row>
    <row r="45" spans="1:6" ht="13.5" thickTop="1">
      <c r="A45" s="518" t="s">
        <v>1384</v>
      </c>
      <c r="B45" s="514">
        <v>0</v>
      </c>
      <c r="C45" s="514">
        <f>'Statement of Financial Performa'!H60</f>
        <v>-14841360.20000001</v>
      </c>
      <c r="D45" s="515">
        <f>SUM(C45:C45)</f>
        <v>-14841360.20000001</v>
      </c>
    </row>
    <row r="46" spans="1:6">
      <c r="A46" s="518" t="s">
        <v>2830</v>
      </c>
      <c r="B46" s="514">
        <v>-18669220</v>
      </c>
      <c r="C46" s="514">
        <f>'Notes 2 - 9'!F53+3</f>
        <v>3752011</v>
      </c>
      <c r="D46" s="515">
        <f>SUM(B46:C46)</f>
        <v>-14917209</v>
      </c>
    </row>
    <row r="47" spans="1:6">
      <c r="A47" s="518" t="s">
        <v>1535</v>
      </c>
      <c r="B47" s="514">
        <v>0</v>
      </c>
      <c r="C47" s="514">
        <v>5905737</v>
      </c>
      <c r="D47" s="515">
        <f>SUM(C47)</f>
        <v>5905737</v>
      </c>
      <c r="F47" s="220">
        <v>0</v>
      </c>
    </row>
    <row r="48" spans="1:6">
      <c r="A48" s="524" t="s">
        <v>2013</v>
      </c>
      <c r="B48" s="514">
        <v>0</v>
      </c>
      <c r="C48" s="324">
        <f>'Notes 2 - 9'!F54</f>
        <v>-6240000</v>
      </c>
      <c r="D48" s="525">
        <f>SUM(B48:C48)</f>
        <v>-6240000</v>
      </c>
    </row>
    <row r="49" spans="1:7">
      <c r="A49" s="526" t="s">
        <v>2012</v>
      </c>
      <c r="B49" s="514"/>
      <c r="C49" s="331">
        <f>'Notes 2 - 9'!F55</f>
        <v>-5905737.2699999996</v>
      </c>
      <c r="D49" s="527">
        <f>SUM(B49:C49)</f>
        <v>-5905737.2699999996</v>
      </c>
    </row>
    <row r="50" spans="1:7" ht="13.5" thickBot="1">
      <c r="A50" s="238" t="s">
        <v>1991</v>
      </c>
      <c r="B50" s="239">
        <f>SUM(B44:B49)</f>
        <v>63859283</v>
      </c>
      <c r="C50" s="239">
        <f>SUM(C44:C49)</f>
        <v>86190543.760000005</v>
      </c>
      <c r="D50" s="240">
        <f>SUM(D44:D49)+4</f>
        <v>150049828.75999996</v>
      </c>
    </row>
    <row r="51" spans="1:7" ht="13.5" thickTop="1">
      <c r="A51" s="232">
        <v>2011</v>
      </c>
      <c r="B51" s="522"/>
      <c r="C51" s="522"/>
      <c r="D51" s="523"/>
    </row>
    <row r="52" spans="1:7" ht="13.5" thickBot="1">
      <c r="A52" s="233" t="s">
        <v>1383</v>
      </c>
      <c r="B52" s="191">
        <f>B50</f>
        <v>63859283</v>
      </c>
      <c r="C52" s="191">
        <f>C50</f>
        <v>86190543.760000005</v>
      </c>
      <c r="D52" s="236">
        <f>D50</f>
        <v>150049828.75999996</v>
      </c>
    </row>
    <row r="53" spans="1:7" ht="13.5" thickTop="1">
      <c r="A53" s="518" t="s">
        <v>1384</v>
      </c>
      <c r="B53" s="514">
        <v>0</v>
      </c>
      <c r="C53" s="514">
        <f>'Statement of Financial Performa'!F60</f>
        <v>15198325.659999982</v>
      </c>
      <c r="D53" s="515">
        <f>SUM(C53:C53)</f>
        <v>15198325.659999982</v>
      </c>
    </row>
    <row r="54" spans="1:7" s="1025" customFormat="1">
      <c r="A54" s="518" t="s">
        <v>2927</v>
      </c>
      <c r="B54" s="514">
        <f>'Notes 2 - 9'!D42</f>
        <v>-508630</v>
      </c>
      <c r="C54" s="514"/>
      <c r="D54" s="515"/>
      <c r="E54" s="220"/>
      <c r="F54" s="220"/>
      <c r="G54" s="220"/>
    </row>
    <row r="55" spans="1:7">
      <c r="A55" s="518" t="s">
        <v>2830</v>
      </c>
      <c r="B55" s="514"/>
      <c r="C55" s="514">
        <f>'Notes 2 - 9'!D53</f>
        <v>-5211613.49</v>
      </c>
      <c r="D55" s="515">
        <f>SUM(B55:C55)</f>
        <v>-5211613.49</v>
      </c>
    </row>
    <row r="56" spans="1:7" s="1025" customFormat="1">
      <c r="A56" s="518" t="s">
        <v>2888</v>
      </c>
      <c r="B56" s="514"/>
      <c r="C56" s="514">
        <f>'Notes 2 - 9'!D56</f>
        <v>2587377.73</v>
      </c>
      <c r="D56" s="515"/>
      <c r="E56" s="220"/>
      <c r="F56" s="220"/>
      <c r="G56" s="220"/>
    </row>
    <row r="57" spans="1:7">
      <c r="A57" s="518" t="s">
        <v>1386</v>
      </c>
      <c r="B57" s="514">
        <v>0</v>
      </c>
      <c r="C57" s="514">
        <v>0</v>
      </c>
      <c r="D57" s="515">
        <f>SUM(C57:C57)</f>
        <v>0</v>
      </c>
    </row>
    <row r="58" spans="1:7" ht="13.5" thickBot="1">
      <c r="A58" s="238" t="s">
        <v>2079</v>
      </c>
      <c r="B58" s="239">
        <f>SUM(B52:B57)</f>
        <v>63350653</v>
      </c>
      <c r="C58" s="239">
        <f>SUM(C52:C57)</f>
        <v>98764633.659999996</v>
      </c>
      <c r="D58" s="240">
        <f>SUM(D52:D57)+4</f>
        <v>160036544.92999995</v>
      </c>
    </row>
    <row r="59" spans="1:7" ht="13.5" thickTop="1">
      <c r="C59" s="219">
        <f>'Statement of Financial Position'!C11</f>
        <v>98764633.430000007</v>
      </c>
    </row>
    <row r="60" spans="1:7">
      <c r="C60" s="219">
        <f>C59-C58</f>
        <v>-0.22999998927116394</v>
      </c>
    </row>
    <row r="113" spans="7:7">
      <c r="G113" s="220">
        <v>5253981.1399999997</v>
      </c>
    </row>
  </sheetData>
  <mergeCells count="2">
    <mergeCell ref="A1:D1"/>
    <mergeCell ref="A2:D2"/>
  </mergeCells>
  <phoneticPr fontId="0" type="noConversion"/>
  <printOptions horizontalCentered="1"/>
  <pageMargins left="0.6692913385826772" right="0.39370078740157483" top="0.98425196850393704" bottom="0.98425196850393704" header="0.51181102362204722" footer="0.51181102362204722"/>
  <pageSetup orientation="portrait" r:id="rId1"/>
  <headerFooter alignWithMargins="0">
    <oddHeader>&amp;C FINANCIAL STATEMENTS: MUSINA LOCAL MUNICIPALITY</oddHeader>
    <oddFooter>&amp;RPage &amp;P</oddFooter>
  </headerFooter>
</worksheet>
</file>

<file path=xl/worksheets/sheet9.xml><?xml version="1.0" encoding="utf-8"?>
<worksheet xmlns="http://schemas.openxmlformats.org/spreadsheetml/2006/main" xmlns:r="http://schemas.openxmlformats.org/officeDocument/2006/relationships">
  <dimension ref="A1:G463"/>
  <sheetViews>
    <sheetView view="pageBreakPreview" topLeftCell="A403" zoomScaleSheetLayoutView="100" workbookViewId="0">
      <selection activeCell="E440" sqref="E440"/>
    </sheetView>
  </sheetViews>
  <sheetFormatPr defaultRowHeight="12.75"/>
  <cols>
    <col min="1" max="1" width="4.5703125" style="1526" bestFit="1" customWidth="1"/>
    <col min="2" max="2" width="7.140625" style="1547" customWidth="1"/>
    <col min="3" max="3" width="79.28515625" style="1530" customWidth="1"/>
    <col min="4" max="4" width="7.140625" style="1525" bestFit="1" customWidth="1"/>
    <col min="5" max="16384" width="9.140625" style="1525"/>
  </cols>
  <sheetData>
    <row r="1" spans="1:7" ht="15" customHeight="1">
      <c r="A1" s="1688" t="s">
        <v>1349</v>
      </c>
      <c r="B1" s="1688"/>
      <c r="C1" s="1688"/>
      <c r="D1" s="1688"/>
    </row>
    <row r="2" spans="1:7" ht="15" customHeight="1">
      <c r="A2" s="1689" t="s">
        <v>2075</v>
      </c>
      <c r="B2" s="1689"/>
      <c r="C2" s="1689"/>
      <c r="D2" s="1689"/>
    </row>
    <row r="3" spans="1:7">
      <c r="B3" s="1527"/>
      <c r="C3" s="1528"/>
      <c r="D3" s="1529"/>
    </row>
    <row r="4" spans="1:7" s="1068" customFormat="1" ht="13.5" customHeight="1">
      <c r="A4" s="1066">
        <v>1</v>
      </c>
      <c r="B4" s="1067" t="s">
        <v>2540</v>
      </c>
      <c r="C4" s="1548"/>
      <c r="D4" s="1548"/>
      <c r="E4" s="1548"/>
      <c r="F4" s="1548"/>
      <c r="G4" s="1548"/>
    </row>
    <row r="5" spans="1:7">
      <c r="A5" s="1066"/>
      <c r="B5" s="1067"/>
      <c r="C5" s="1548"/>
      <c r="D5" s="1548"/>
      <c r="E5" s="1548"/>
      <c r="F5" s="1548"/>
      <c r="G5" s="1548"/>
    </row>
    <row r="6" spans="1:7" s="1068" customFormat="1">
      <c r="A6" s="1066"/>
      <c r="B6" s="1067">
        <v>1.1000000000000001</v>
      </c>
      <c r="C6" s="1067" t="s">
        <v>1176</v>
      </c>
      <c r="D6" s="1548"/>
      <c r="E6" s="1548"/>
      <c r="F6" s="1548"/>
      <c r="G6" s="1548"/>
    </row>
    <row r="7" spans="1:7" s="1530" customFormat="1" ht="25.5">
      <c r="A7" s="1069"/>
      <c r="B7" s="1067"/>
      <c r="C7" s="1070" t="s">
        <v>2541</v>
      </c>
      <c r="D7" s="1070"/>
      <c r="E7" s="1070"/>
      <c r="F7" s="1070"/>
      <c r="G7" s="1070"/>
    </row>
    <row r="8" spans="1:7">
      <c r="A8" s="1069"/>
      <c r="B8" s="1067"/>
      <c r="C8" s="1549"/>
      <c r="D8" s="1549"/>
      <c r="E8" s="1549"/>
      <c r="F8" s="1549"/>
      <c r="G8" s="1549"/>
    </row>
    <row r="9" spans="1:7" s="1068" customFormat="1" ht="51">
      <c r="A9" s="1069"/>
      <c r="B9" s="1067"/>
      <c r="C9" s="1070" t="s">
        <v>2542</v>
      </c>
      <c r="D9" s="1070"/>
      <c r="E9" s="1070"/>
      <c r="F9" s="1070"/>
      <c r="G9" s="1070"/>
    </row>
    <row r="10" spans="1:7" s="1530" customFormat="1">
      <c r="A10" s="1069"/>
      <c r="B10" s="1067"/>
      <c r="C10" s="1549"/>
      <c r="D10" s="1549"/>
      <c r="E10" s="1549"/>
      <c r="F10" s="1549"/>
      <c r="G10" s="1549"/>
    </row>
    <row r="11" spans="1:7" ht="25.5">
      <c r="A11" s="1069"/>
      <c r="B11" s="1067"/>
      <c r="C11" s="1070" t="s">
        <v>1309</v>
      </c>
      <c r="D11" s="1070"/>
      <c r="E11" s="1070"/>
      <c r="F11" s="1070"/>
      <c r="G11" s="1070"/>
    </row>
    <row r="12" spans="1:7" s="1530" customFormat="1">
      <c r="A12" s="1069"/>
      <c r="B12" s="1067"/>
      <c r="C12" s="1549"/>
      <c r="D12" s="1549"/>
      <c r="E12" s="1549"/>
      <c r="F12" s="1549"/>
      <c r="G12" s="1549"/>
    </row>
    <row r="13" spans="1:7" ht="25.5">
      <c r="A13" s="1069"/>
      <c r="B13" s="1067"/>
      <c r="C13" s="1070" t="s">
        <v>2543</v>
      </c>
      <c r="D13" s="1070"/>
      <c r="E13" s="1070"/>
      <c r="F13" s="1070"/>
      <c r="G13" s="1070"/>
    </row>
    <row r="14" spans="1:7" s="1530" customFormat="1">
      <c r="A14" s="1069"/>
      <c r="B14" s="1067"/>
      <c r="C14" s="1549"/>
      <c r="D14" s="1549"/>
      <c r="E14" s="1549"/>
      <c r="F14" s="1549"/>
      <c r="G14" s="1549"/>
    </row>
    <row r="15" spans="1:7" ht="38.25">
      <c r="A15" s="1069"/>
      <c r="B15" s="1067"/>
      <c r="C15" s="1070" t="s">
        <v>2544</v>
      </c>
      <c r="D15" s="1070"/>
      <c r="E15" s="1070"/>
      <c r="F15" s="1070"/>
      <c r="G15" s="1070"/>
    </row>
    <row r="16" spans="1:7">
      <c r="A16" s="1069"/>
      <c r="B16" s="1067"/>
      <c r="C16" s="1549"/>
      <c r="D16" s="1549"/>
      <c r="E16" s="1549"/>
      <c r="F16" s="1549"/>
      <c r="G16" s="1549"/>
    </row>
    <row r="17" spans="1:7">
      <c r="A17" s="1069"/>
      <c r="B17" s="1067">
        <v>1.2</v>
      </c>
      <c r="C17" s="1071" t="s">
        <v>2750</v>
      </c>
      <c r="D17" s="1549"/>
      <c r="E17" s="1549"/>
      <c r="F17" s="1549"/>
      <c r="G17" s="1549"/>
    </row>
    <row r="18" spans="1:7" ht="25.5">
      <c r="A18" s="1069"/>
      <c r="B18" s="1067"/>
      <c r="C18" s="1070" t="s">
        <v>2545</v>
      </c>
      <c r="D18" s="1070"/>
      <c r="E18" s="1070"/>
      <c r="F18" s="1070"/>
      <c r="G18" s="1070"/>
    </row>
    <row r="19" spans="1:7">
      <c r="A19" s="1069"/>
      <c r="B19" s="1067"/>
      <c r="C19" s="1549"/>
      <c r="D19" s="1549"/>
      <c r="E19" s="1549"/>
      <c r="F19" s="1549"/>
      <c r="G19" s="1549"/>
    </row>
    <row r="20" spans="1:7">
      <c r="A20" s="1069"/>
      <c r="B20" s="1067">
        <v>1.3</v>
      </c>
      <c r="C20" s="1071" t="s">
        <v>1177</v>
      </c>
      <c r="D20" s="1549"/>
      <c r="E20" s="1549"/>
      <c r="F20" s="1549"/>
      <c r="G20" s="1549"/>
    </row>
    <row r="21" spans="1:7" ht="25.5">
      <c r="A21" s="1069"/>
      <c r="B21" s="1067"/>
      <c r="C21" s="1070" t="s">
        <v>2546</v>
      </c>
      <c r="D21" s="1070"/>
      <c r="E21" s="1070"/>
      <c r="F21" s="1070"/>
      <c r="G21" s="1070"/>
    </row>
    <row r="22" spans="1:7">
      <c r="A22" s="1069"/>
      <c r="B22" s="1067"/>
      <c r="C22" s="1549"/>
      <c r="D22" s="1549"/>
      <c r="E22" s="1549"/>
      <c r="F22" s="1549"/>
      <c r="G22" s="1549"/>
    </row>
    <row r="23" spans="1:7">
      <c r="A23" s="1069"/>
      <c r="B23" s="1067">
        <v>1.4</v>
      </c>
      <c r="C23" s="1071" t="s">
        <v>1094</v>
      </c>
      <c r="D23" s="1549"/>
      <c r="E23" s="1549"/>
      <c r="F23" s="1549"/>
      <c r="G23" s="1549"/>
    </row>
    <row r="24" spans="1:7" ht="25.5">
      <c r="A24" s="1069"/>
      <c r="B24" s="1067"/>
      <c r="C24" s="1070" t="s">
        <v>2547</v>
      </c>
      <c r="D24" s="1070"/>
      <c r="E24" s="1070"/>
      <c r="F24" s="1070"/>
      <c r="G24" s="1070"/>
    </row>
    <row r="25" spans="1:7">
      <c r="A25" s="1069"/>
      <c r="B25" s="1067"/>
      <c r="C25" s="1549"/>
      <c r="D25" s="1549"/>
      <c r="E25" s="1549"/>
      <c r="F25" s="1549"/>
      <c r="G25" s="1549"/>
    </row>
    <row r="26" spans="1:7" ht="89.25">
      <c r="A26" s="1069"/>
      <c r="B26" s="1067"/>
      <c r="C26" s="1070" t="s">
        <v>2548</v>
      </c>
      <c r="D26" s="1070"/>
      <c r="E26" s="1070"/>
      <c r="F26" s="1070"/>
      <c r="G26" s="1070"/>
    </row>
    <row r="27" spans="1:7">
      <c r="A27" s="1069"/>
      <c r="B27" s="1067"/>
      <c r="C27" s="1549"/>
      <c r="D27" s="1549"/>
      <c r="E27" s="1549"/>
      <c r="F27" s="1549"/>
      <c r="G27" s="1549"/>
    </row>
    <row r="28" spans="1:7" s="1530" customFormat="1" ht="25.5">
      <c r="A28" s="1069"/>
      <c r="B28" s="1067">
        <v>1.5</v>
      </c>
      <c r="C28" s="1071" t="s">
        <v>2549</v>
      </c>
      <c r="D28" s="1071"/>
      <c r="E28" s="1071"/>
      <c r="F28" s="1071"/>
      <c r="G28" s="1071"/>
    </row>
    <row r="29" spans="1:7">
      <c r="A29" s="1069"/>
      <c r="B29" s="1067"/>
      <c r="C29" s="1531"/>
      <c r="D29" s="1071"/>
      <c r="E29" s="1071"/>
      <c r="F29" s="1071"/>
      <c r="G29" s="1071"/>
    </row>
    <row r="30" spans="1:7" ht="12.75" customHeight="1">
      <c r="A30" s="1069"/>
      <c r="B30" s="1067"/>
      <c r="C30" s="1520" t="s">
        <v>2550</v>
      </c>
      <c r="D30" s="1520"/>
      <c r="E30" s="1520"/>
      <c r="F30" s="1520"/>
      <c r="G30" s="1520"/>
    </row>
    <row r="31" spans="1:7">
      <c r="A31" s="1069"/>
      <c r="B31" s="1067"/>
      <c r="C31" s="1519"/>
      <c r="D31" s="1519"/>
      <c r="E31" s="1519"/>
      <c r="F31" s="1519"/>
      <c r="G31" s="1519"/>
    </row>
    <row r="32" spans="1:7">
      <c r="A32" s="1069"/>
      <c r="B32" s="1067"/>
      <c r="C32" s="1690" t="s">
        <v>2824</v>
      </c>
      <c r="D32" s="1690"/>
      <c r="E32" s="1690"/>
      <c r="F32" s="1690"/>
      <c r="G32" s="1690"/>
    </row>
    <row r="33" spans="1:7">
      <c r="A33" s="1069"/>
      <c r="B33" s="1067"/>
      <c r="C33" s="1690" t="s">
        <v>2551</v>
      </c>
      <c r="D33" s="1690"/>
      <c r="E33" s="1690"/>
      <c r="F33" s="1690"/>
      <c r="G33" s="1690"/>
    </row>
    <row r="34" spans="1:7">
      <c r="A34" s="1069"/>
      <c r="B34" s="1067"/>
      <c r="C34" s="1690" t="s">
        <v>2552</v>
      </c>
      <c r="D34" s="1690"/>
      <c r="E34" s="1690"/>
      <c r="F34" s="1690"/>
      <c r="G34" s="1690"/>
    </row>
    <row r="35" spans="1:7">
      <c r="A35" s="1069"/>
      <c r="B35" s="1067"/>
      <c r="C35" s="1690" t="s">
        <v>2553</v>
      </c>
      <c r="D35" s="1690"/>
      <c r="E35" s="1690"/>
      <c r="F35" s="1690"/>
      <c r="G35" s="1690"/>
    </row>
    <row r="36" spans="1:7">
      <c r="A36" s="1069"/>
      <c r="B36" s="1067"/>
      <c r="C36" s="1690" t="s">
        <v>2554</v>
      </c>
      <c r="D36" s="1690"/>
      <c r="E36" s="1690"/>
      <c r="F36" s="1690"/>
      <c r="G36" s="1690"/>
    </row>
    <row r="37" spans="1:7">
      <c r="A37" s="1069"/>
      <c r="B37" s="1067"/>
      <c r="C37" s="1532"/>
      <c r="D37" s="1532"/>
      <c r="E37" s="1532"/>
      <c r="F37" s="1532"/>
      <c r="G37" s="1532"/>
    </row>
    <row r="38" spans="1:7">
      <c r="A38" s="1069"/>
      <c r="B38" s="1067"/>
      <c r="C38" s="1691" t="s">
        <v>2825</v>
      </c>
      <c r="D38" s="1691"/>
      <c r="E38" s="1691"/>
      <c r="F38" s="1691"/>
      <c r="G38" s="1691"/>
    </row>
    <row r="39" spans="1:7">
      <c r="A39" s="1069"/>
      <c r="B39" s="1067"/>
      <c r="C39" s="1533" t="s">
        <v>2826</v>
      </c>
      <c r="D39" s="1533"/>
      <c r="E39" s="1533"/>
      <c r="F39" s="1533"/>
      <c r="G39" s="1533"/>
    </row>
    <row r="40" spans="1:7">
      <c r="A40" s="1069"/>
      <c r="B40" s="1067"/>
      <c r="C40" s="1532"/>
      <c r="D40" s="1532"/>
      <c r="E40" s="1532"/>
      <c r="F40" s="1532"/>
      <c r="G40" s="1532"/>
    </row>
    <row r="41" spans="1:7">
      <c r="A41" s="1069"/>
      <c r="B41" s="1067"/>
      <c r="C41" s="1690" t="s">
        <v>2555</v>
      </c>
      <c r="D41" s="1690"/>
      <c r="E41" s="1690"/>
      <c r="F41" s="1690"/>
      <c r="G41" s="1690"/>
    </row>
    <row r="42" spans="1:7">
      <c r="A42" s="1069"/>
      <c r="B42" s="1067"/>
      <c r="C42" s="1690" t="s">
        <v>2556</v>
      </c>
      <c r="D42" s="1690"/>
      <c r="E42" s="1690"/>
      <c r="F42" s="1690"/>
      <c r="G42" s="1690"/>
    </row>
    <row r="43" spans="1:7" s="1074" customFormat="1">
      <c r="A43" s="1069"/>
      <c r="B43" s="1067"/>
      <c r="C43" s="1072"/>
      <c r="D43" s="1072"/>
      <c r="E43" s="1072"/>
      <c r="F43" s="1072"/>
      <c r="G43" s="1072"/>
    </row>
    <row r="44" spans="1:7" s="1530" customFormat="1" hidden="1">
      <c r="A44" s="1069"/>
      <c r="B44" s="1067"/>
      <c r="C44" s="1549" t="s">
        <v>2557</v>
      </c>
      <c r="D44" s="1549"/>
      <c r="E44" s="1549"/>
      <c r="F44" s="1549"/>
      <c r="G44" s="1549"/>
    </row>
    <row r="45" spans="1:7" s="1530" customFormat="1" hidden="1">
      <c r="A45" s="1069"/>
      <c r="B45" s="1067"/>
      <c r="C45" s="1088" t="s">
        <v>2679</v>
      </c>
      <c r="D45" s="1073"/>
      <c r="E45" s="1073"/>
      <c r="F45" s="1073"/>
      <c r="G45" s="1073"/>
    </row>
    <row r="46" spans="1:7" s="1530" customFormat="1" hidden="1">
      <c r="A46" s="1069"/>
      <c r="B46" s="1067"/>
      <c r="C46" s="1073"/>
      <c r="D46" s="1073"/>
      <c r="E46" s="1073"/>
      <c r="F46" s="1073"/>
      <c r="G46" s="1073"/>
    </row>
    <row r="47" spans="1:7" s="1074" customFormat="1" hidden="1">
      <c r="A47" s="1069"/>
      <c r="B47" s="1067"/>
      <c r="C47" s="1073"/>
      <c r="D47" s="1073"/>
      <c r="E47" s="1073"/>
      <c r="F47" s="1073"/>
      <c r="G47" s="1073"/>
    </row>
    <row r="48" spans="1:7" s="1530" customFormat="1" hidden="1">
      <c r="A48" s="1069"/>
      <c r="B48" s="1067"/>
      <c r="C48" s="1073"/>
      <c r="D48" s="1073"/>
      <c r="E48" s="1073"/>
      <c r="F48" s="1073"/>
      <c r="G48" s="1073"/>
    </row>
    <row r="49" spans="1:7" s="1530" customFormat="1" hidden="1">
      <c r="A49" s="1069"/>
      <c r="B49" s="1067"/>
      <c r="C49" s="1550"/>
      <c r="D49" s="1550"/>
      <c r="E49" s="1550"/>
      <c r="F49" s="1550"/>
      <c r="G49" s="1550"/>
    </row>
    <row r="50" spans="1:7" s="1530" customFormat="1" hidden="1">
      <c r="A50" s="1069"/>
      <c r="B50" s="1067"/>
      <c r="C50" s="1540"/>
      <c r="D50" s="1540"/>
      <c r="E50" s="1540"/>
      <c r="F50" s="1540"/>
      <c r="G50" s="1540"/>
    </row>
    <row r="51" spans="1:7" s="1074" customFormat="1" hidden="1">
      <c r="A51" s="1069"/>
      <c r="B51" s="1067"/>
      <c r="C51" s="1549" t="s">
        <v>2558</v>
      </c>
      <c r="D51" s="1549"/>
      <c r="E51" s="1549"/>
      <c r="F51" s="1549"/>
      <c r="G51" s="1549"/>
    </row>
    <row r="52" spans="1:7" s="1530" customFormat="1" hidden="1">
      <c r="A52" s="1069"/>
      <c r="B52" s="1067"/>
      <c r="C52" s="1088" t="s">
        <v>2679</v>
      </c>
      <c r="D52" s="1073"/>
      <c r="E52" s="1073"/>
      <c r="F52" s="1073"/>
      <c r="G52" s="1073"/>
    </row>
    <row r="53" spans="1:7" s="1530" customFormat="1" hidden="1">
      <c r="A53" s="1069"/>
      <c r="B53" s="1067"/>
      <c r="C53" s="1073"/>
      <c r="D53" s="1073"/>
      <c r="E53" s="1073"/>
      <c r="F53" s="1073"/>
      <c r="G53" s="1073"/>
    </row>
    <row r="54" spans="1:7" s="1530" customFormat="1" hidden="1">
      <c r="A54" s="1069"/>
      <c r="B54" s="1067"/>
      <c r="C54" s="1073"/>
      <c r="D54" s="1073"/>
      <c r="E54" s="1073"/>
      <c r="F54" s="1073"/>
      <c r="G54" s="1073"/>
    </row>
    <row r="55" spans="1:7" s="1530" customFormat="1" hidden="1">
      <c r="A55" s="1069"/>
      <c r="B55" s="1067"/>
      <c r="C55" s="1073"/>
      <c r="D55" s="1073"/>
      <c r="E55" s="1073"/>
      <c r="F55" s="1073"/>
      <c r="G55" s="1073"/>
    </row>
    <row r="56" spans="1:7" s="1530" customFormat="1" hidden="1">
      <c r="A56" s="1069"/>
      <c r="B56" s="1067"/>
      <c r="C56" s="1550"/>
      <c r="D56" s="1550"/>
      <c r="E56" s="1550"/>
      <c r="F56" s="1550"/>
      <c r="G56" s="1550"/>
    </row>
    <row r="57" spans="1:7" s="1530" customFormat="1" hidden="1">
      <c r="A57" s="1069"/>
      <c r="B57" s="1067"/>
      <c r="C57" s="1549"/>
      <c r="D57" s="1549"/>
      <c r="E57" s="1549"/>
      <c r="F57" s="1549"/>
      <c r="G57" s="1549"/>
    </row>
    <row r="58" spans="1:7" s="1530" customFormat="1">
      <c r="A58" s="1524" t="s">
        <v>2861</v>
      </c>
      <c r="B58" s="1067" t="s">
        <v>2559</v>
      </c>
      <c r="C58" s="1549"/>
      <c r="D58" s="1549"/>
      <c r="E58" s="1549"/>
      <c r="F58" s="1549"/>
      <c r="G58" s="1549"/>
    </row>
    <row r="59" spans="1:7" s="1530" customFormat="1">
      <c r="A59" s="1069"/>
      <c r="B59" s="1067"/>
      <c r="C59" s="1549"/>
      <c r="D59" s="1549"/>
      <c r="E59" s="1549"/>
      <c r="F59" s="1549"/>
      <c r="G59" s="1549"/>
    </row>
    <row r="60" spans="1:7" s="1530" customFormat="1">
      <c r="A60" s="1069"/>
      <c r="B60" s="1067" t="s">
        <v>2862</v>
      </c>
      <c r="C60" s="1071" t="s">
        <v>2560</v>
      </c>
      <c r="D60" s="1549"/>
      <c r="E60" s="1549"/>
      <c r="F60" s="1549"/>
      <c r="G60" s="1549"/>
    </row>
    <row r="61" spans="1:7" s="1530" customFormat="1" ht="127.5">
      <c r="A61" s="1069"/>
      <c r="B61" s="1067"/>
      <c r="C61" s="1070" t="s">
        <v>2561</v>
      </c>
      <c r="D61" s="1070"/>
      <c r="E61" s="1070"/>
      <c r="F61" s="1070"/>
      <c r="G61" s="1070"/>
    </row>
    <row r="62" spans="1:7" s="1530" customFormat="1" ht="38.25">
      <c r="A62" s="1069"/>
      <c r="B62" s="1067"/>
      <c r="C62" s="1070" t="s">
        <v>2562</v>
      </c>
      <c r="D62" s="1070"/>
      <c r="E62" s="1070"/>
      <c r="F62" s="1070"/>
      <c r="G62" s="1070"/>
    </row>
    <row r="63" spans="1:7" s="1530" customFormat="1">
      <c r="A63" s="1069"/>
      <c r="B63" s="1067"/>
      <c r="C63" s="1549"/>
      <c r="D63" s="1549"/>
      <c r="E63" s="1549"/>
      <c r="F63" s="1549"/>
      <c r="G63" s="1549"/>
    </row>
    <row r="64" spans="1:7" s="1530" customFormat="1" ht="38.25">
      <c r="A64" s="1069"/>
      <c r="B64" s="1067"/>
      <c r="C64" s="1070" t="s">
        <v>2563</v>
      </c>
      <c r="D64" s="1070"/>
      <c r="E64" s="1070"/>
      <c r="F64" s="1070"/>
      <c r="G64" s="1070"/>
    </row>
    <row r="65" spans="1:7" s="1530" customFormat="1">
      <c r="A65" s="1069"/>
      <c r="B65" s="1067"/>
      <c r="C65" s="1549"/>
      <c r="D65" s="1549"/>
      <c r="E65" s="1549"/>
      <c r="F65" s="1549"/>
      <c r="G65" s="1549"/>
    </row>
    <row r="66" spans="1:7" s="1530" customFormat="1" ht="51">
      <c r="A66" s="1069"/>
      <c r="B66" s="1067"/>
      <c r="C66" s="1070" t="s">
        <v>2564</v>
      </c>
      <c r="D66" s="1070"/>
      <c r="E66" s="1070"/>
      <c r="F66" s="1070"/>
      <c r="G66" s="1070"/>
    </row>
    <row r="67" spans="1:7" s="1530" customFormat="1">
      <c r="A67" s="1069"/>
      <c r="B67" s="1067"/>
      <c r="C67" s="1070"/>
      <c r="D67" s="1549"/>
      <c r="E67" s="1549"/>
      <c r="F67" s="1549"/>
      <c r="G67" s="1549"/>
    </row>
    <row r="68" spans="1:7" s="1530" customFormat="1" ht="51">
      <c r="A68" s="1069"/>
      <c r="B68" s="1067"/>
      <c r="C68" s="1070" t="s">
        <v>2565</v>
      </c>
      <c r="D68" s="1070"/>
      <c r="E68" s="1070"/>
      <c r="F68" s="1070"/>
      <c r="G68" s="1070"/>
    </row>
    <row r="69" spans="1:7" s="1530" customFormat="1">
      <c r="A69" s="1069"/>
      <c r="B69" s="1067"/>
      <c r="C69" s="1070"/>
      <c r="D69" s="1549"/>
      <c r="E69" s="1549"/>
      <c r="F69" s="1549"/>
      <c r="G69" s="1549"/>
    </row>
    <row r="70" spans="1:7" s="1530" customFormat="1">
      <c r="A70" s="1069"/>
      <c r="B70" s="1067" t="s">
        <v>2864</v>
      </c>
      <c r="C70" s="1071" t="s">
        <v>2566</v>
      </c>
      <c r="D70" s="1549"/>
      <c r="E70" s="1549"/>
      <c r="F70" s="1549"/>
      <c r="G70" s="1549"/>
    </row>
    <row r="71" spans="1:7" s="1530" customFormat="1" ht="38.25">
      <c r="A71" s="1069"/>
      <c r="B71" s="1067"/>
      <c r="C71" s="1070" t="s">
        <v>2567</v>
      </c>
      <c r="D71" s="1070"/>
      <c r="E71" s="1070"/>
      <c r="F71" s="1070"/>
      <c r="G71" s="1070"/>
    </row>
    <row r="72" spans="1:7" s="1530" customFormat="1">
      <c r="A72" s="1069"/>
      <c r="B72" s="1067"/>
      <c r="C72" s="1549"/>
      <c r="D72" s="1549"/>
      <c r="E72" s="1549"/>
      <c r="F72" s="1549"/>
      <c r="G72" s="1549"/>
    </row>
    <row r="73" spans="1:7" s="1530" customFormat="1" ht="38.25">
      <c r="A73" s="1069"/>
      <c r="B73" s="1067"/>
      <c r="C73" s="1070" t="s">
        <v>2568</v>
      </c>
      <c r="D73" s="1070"/>
      <c r="E73" s="1070"/>
      <c r="F73" s="1070"/>
      <c r="G73" s="1070"/>
    </row>
    <row r="74" spans="1:7" s="1530" customFormat="1">
      <c r="A74" s="1069"/>
      <c r="B74" s="1067"/>
      <c r="C74" s="1549"/>
      <c r="D74" s="1549"/>
      <c r="E74" s="1549"/>
      <c r="F74" s="1549"/>
      <c r="G74" s="1549"/>
    </row>
    <row r="75" spans="1:7" s="1530" customFormat="1" ht="38.25">
      <c r="A75" s="1069"/>
      <c r="B75" s="1067"/>
      <c r="C75" s="1070" t="s">
        <v>2569</v>
      </c>
      <c r="D75" s="1070"/>
      <c r="E75" s="1070"/>
      <c r="F75" s="1070"/>
      <c r="G75" s="1070"/>
    </row>
    <row r="76" spans="1:7" s="1530" customFormat="1">
      <c r="A76" s="1069"/>
      <c r="B76" s="1067"/>
      <c r="C76" s="1549"/>
      <c r="D76" s="1549"/>
      <c r="E76" s="1549"/>
      <c r="F76" s="1549"/>
      <c r="G76" s="1549"/>
    </row>
    <row r="77" spans="1:7" s="1530" customFormat="1">
      <c r="A77" s="1069"/>
      <c r="B77" s="1067"/>
      <c r="C77" s="1085" t="s">
        <v>2720</v>
      </c>
      <c r="D77" s="1549"/>
      <c r="E77" s="1549"/>
      <c r="F77" s="1549"/>
      <c r="G77" s="1549"/>
    </row>
    <row r="78" spans="1:7" s="1530" customFormat="1">
      <c r="A78" s="1069"/>
      <c r="B78" s="1067"/>
      <c r="C78" s="1528"/>
      <c r="D78" s="1549"/>
      <c r="E78" s="1549"/>
      <c r="F78" s="1549"/>
      <c r="G78" s="1549"/>
    </row>
    <row r="79" spans="1:7" s="1530" customFormat="1" ht="63.75">
      <c r="A79" s="1069"/>
      <c r="B79" s="1067"/>
      <c r="C79" s="1534" t="s">
        <v>2721</v>
      </c>
      <c r="D79" s="1549"/>
      <c r="E79" s="1549"/>
      <c r="F79" s="1549"/>
      <c r="G79" s="1549"/>
    </row>
    <row r="80" spans="1:7" s="1530" customFormat="1">
      <c r="A80" s="1069"/>
      <c r="B80" s="1067"/>
      <c r="C80" s="1535" t="s">
        <v>2722</v>
      </c>
      <c r="D80" s="1549"/>
      <c r="E80" s="1549"/>
      <c r="F80" s="1549"/>
      <c r="G80" s="1549"/>
    </row>
    <row r="81" spans="1:7" s="1530" customFormat="1">
      <c r="A81" s="1069"/>
      <c r="B81" s="1067"/>
      <c r="C81" s="1549"/>
      <c r="D81" s="1549"/>
      <c r="E81" s="1549"/>
      <c r="F81" s="1549"/>
      <c r="G81" s="1549"/>
    </row>
    <row r="82" spans="1:7" s="1530" customFormat="1">
      <c r="A82" s="1069"/>
      <c r="B82" s="1067" t="s">
        <v>2863</v>
      </c>
      <c r="C82" s="1071" t="s">
        <v>2570</v>
      </c>
      <c r="D82" s="1549"/>
      <c r="E82" s="1549"/>
      <c r="F82" s="1549"/>
      <c r="G82" s="1549"/>
    </row>
    <row r="83" spans="1:7" s="1530" customFormat="1" ht="38.25">
      <c r="A83" s="1069"/>
      <c r="B83" s="1067"/>
      <c r="C83" s="1070" t="s">
        <v>2571</v>
      </c>
      <c r="D83" s="1070"/>
      <c r="E83" s="1070"/>
      <c r="F83" s="1070"/>
      <c r="G83" s="1070"/>
    </row>
    <row r="84" spans="1:7" s="1530" customFormat="1" hidden="1">
      <c r="A84" s="1069"/>
      <c r="B84" s="1067"/>
      <c r="C84" s="1549"/>
      <c r="D84" s="1549"/>
      <c r="E84" s="1549"/>
      <c r="F84" s="1549"/>
      <c r="G84" s="1549"/>
    </row>
    <row r="85" spans="1:7" s="1530" customFormat="1" ht="51" hidden="1">
      <c r="A85" s="1069"/>
      <c r="B85" s="1067"/>
      <c r="C85" s="1089" t="s">
        <v>2572</v>
      </c>
      <c r="D85" s="1070"/>
      <c r="E85" s="1070"/>
      <c r="F85" s="1070"/>
      <c r="G85" s="1070"/>
    </row>
    <row r="86" spans="1:7" s="1530" customFormat="1">
      <c r="A86" s="1069"/>
      <c r="B86" s="1067"/>
      <c r="C86" s="1549"/>
      <c r="D86" s="1549"/>
      <c r="E86" s="1549"/>
      <c r="F86" s="1549"/>
      <c r="G86" s="1549"/>
    </row>
    <row r="87" spans="1:7" s="1530" customFormat="1">
      <c r="A87" s="1069"/>
      <c r="B87" s="1067" t="s">
        <v>2865</v>
      </c>
      <c r="C87" s="1071" t="s">
        <v>2573</v>
      </c>
      <c r="D87" s="1549"/>
      <c r="E87" s="1549"/>
      <c r="F87" s="1549"/>
      <c r="G87" s="1549"/>
    </row>
    <row r="88" spans="1:7" s="1530" customFormat="1" ht="51">
      <c r="A88" s="1069"/>
      <c r="B88" s="1067"/>
      <c r="C88" s="1070" t="s">
        <v>2886</v>
      </c>
      <c r="D88" s="1070"/>
      <c r="E88" s="1070"/>
      <c r="F88" s="1070"/>
      <c r="G88" s="1070"/>
    </row>
    <row r="89" spans="1:7" s="1530" customFormat="1">
      <c r="A89" s="1069"/>
      <c r="B89" s="1067"/>
      <c r="C89" s="1549"/>
      <c r="D89" s="1549"/>
      <c r="E89" s="1549"/>
      <c r="F89" s="1549"/>
      <c r="G89" s="1549"/>
    </row>
    <row r="90" spans="1:7" s="1530" customFormat="1">
      <c r="A90" s="1069"/>
      <c r="B90" s="1067"/>
      <c r="C90" s="1075" t="s">
        <v>1169</v>
      </c>
      <c r="D90" s="1541"/>
      <c r="E90" s="1549"/>
      <c r="F90" s="1075"/>
      <c r="G90" s="1549"/>
    </row>
    <row r="91" spans="1:7" s="1530" customFormat="1">
      <c r="A91" s="1069"/>
      <c r="B91" s="1067"/>
      <c r="C91" s="1535" t="s">
        <v>2680</v>
      </c>
      <c r="D91" s="1090" t="s">
        <v>2681</v>
      </c>
      <c r="E91" s="1549"/>
      <c r="F91" s="1551"/>
      <c r="G91" s="1550"/>
    </row>
    <row r="92" spans="1:7" s="1530" customFormat="1">
      <c r="A92" s="1069"/>
      <c r="B92" s="1067"/>
      <c r="C92" s="1535" t="s">
        <v>2682</v>
      </c>
      <c r="D92" s="1536" t="s">
        <v>2683</v>
      </c>
      <c r="E92" s="1549"/>
      <c r="F92" s="1551"/>
      <c r="G92" s="1550"/>
    </row>
    <row r="93" spans="1:7" s="1530" customFormat="1">
      <c r="A93" s="1069"/>
      <c r="B93" s="1067"/>
      <c r="C93" s="1535" t="s">
        <v>2684</v>
      </c>
      <c r="D93" s="1537">
        <v>5</v>
      </c>
      <c r="E93" s="1549"/>
      <c r="F93" s="1551"/>
      <c r="G93" s="1550"/>
    </row>
    <row r="94" spans="1:7" s="1530" customFormat="1">
      <c r="A94" s="1069"/>
      <c r="B94" s="1067"/>
      <c r="C94" s="1535" t="s">
        <v>2685</v>
      </c>
      <c r="D94" s="1537">
        <v>20</v>
      </c>
      <c r="E94" s="1549"/>
      <c r="F94" s="1551"/>
      <c r="G94" s="1550"/>
    </row>
    <row r="95" spans="1:7" s="1530" customFormat="1">
      <c r="A95" s="1069"/>
      <c r="B95" s="1067"/>
      <c r="C95" s="1535" t="s">
        <v>2686</v>
      </c>
      <c r="D95" s="1538" t="s">
        <v>2687</v>
      </c>
      <c r="E95" s="1549"/>
      <c r="F95" s="1551"/>
      <c r="G95" s="1550"/>
    </row>
    <row r="96" spans="1:7" s="1530" customFormat="1">
      <c r="A96" s="1069"/>
      <c r="B96" s="1067"/>
      <c r="C96" s="1535" t="s">
        <v>2688</v>
      </c>
      <c r="D96" s="1537">
        <v>10</v>
      </c>
      <c r="E96" s="1549"/>
      <c r="F96" s="1551"/>
      <c r="G96" s="1550"/>
    </row>
    <row r="97" spans="1:7" s="1530" customFormat="1">
      <c r="A97" s="1069"/>
      <c r="B97" s="1067"/>
      <c r="C97" s="1535" t="s">
        <v>2689</v>
      </c>
      <c r="D97" s="1537">
        <v>30</v>
      </c>
      <c r="E97" s="1549"/>
      <c r="F97" s="1551"/>
      <c r="G97" s="1550"/>
    </row>
    <row r="98" spans="1:7" s="1530" customFormat="1">
      <c r="A98" s="1069"/>
      <c r="B98" s="1067"/>
      <c r="C98" s="1535" t="s">
        <v>2690</v>
      </c>
      <c r="D98" s="1538" t="s">
        <v>2687</v>
      </c>
      <c r="E98" s="1549"/>
      <c r="F98" s="1551"/>
      <c r="G98" s="1550"/>
    </row>
    <row r="99" spans="1:7" s="1530" customFormat="1">
      <c r="A99" s="1069"/>
      <c r="B99" s="1067"/>
      <c r="C99" s="1535" t="s">
        <v>2691</v>
      </c>
      <c r="D99" s="1537">
        <v>30</v>
      </c>
      <c r="E99" s="1549"/>
      <c r="F99" s="1551"/>
      <c r="G99" s="1550"/>
    </row>
    <row r="100" spans="1:7" s="1530" customFormat="1">
      <c r="A100" s="1069"/>
      <c r="B100" s="1067"/>
      <c r="C100" s="1535"/>
      <c r="D100" s="1537"/>
      <c r="E100" s="1549"/>
      <c r="F100" s="1551"/>
      <c r="G100" s="1550"/>
    </row>
    <row r="101" spans="1:7" s="1530" customFormat="1">
      <c r="A101" s="1069"/>
      <c r="B101" s="1067"/>
      <c r="C101" s="1535" t="s">
        <v>2692</v>
      </c>
      <c r="D101" s="1537"/>
      <c r="E101" s="1549"/>
      <c r="F101" s="1551"/>
      <c r="G101" s="1550"/>
    </row>
    <row r="102" spans="1:7" s="1530" customFormat="1">
      <c r="A102" s="1069"/>
      <c r="B102" s="1067"/>
      <c r="C102" s="1535" t="s">
        <v>2693</v>
      </c>
      <c r="D102" s="1538" t="s">
        <v>2694</v>
      </c>
      <c r="E102" s="1549"/>
      <c r="F102" s="1551"/>
      <c r="G102" s="1550"/>
    </row>
    <row r="103" spans="1:7" s="1530" customFormat="1">
      <c r="A103" s="1069"/>
      <c r="B103" s="1067"/>
      <c r="C103" s="1535" t="s">
        <v>2695</v>
      </c>
      <c r="D103" s="1538" t="s">
        <v>2694</v>
      </c>
      <c r="E103" s="1549"/>
      <c r="F103" s="1551"/>
      <c r="G103" s="1550"/>
    </row>
    <row r="104" spans="1:7" s="1530" customFormat="1">
      <c r="A104" s="1069"/>
      <c r="B104" s="1067"/>
      <c r="C104" s="1535" t="s">
        <v>2696</v>
      </c>
      <c r="D104" s="1537">
        <v>30</v>
      </c>
      <c r="E104" s="1549"/>
      <c r="F104" s="1552"/>
      <c r="G104" s="1550"/>
    </row>
    <row r="105" spans="1:7" s="1530" customFormat="1">
      <c r="A105" s="1069"/>
      <c r="B105" s="1067"/>
      <c r="C105" s="1535" t="s">
        <v>2697</v>
      </c>
      <c r="D105" s="1537">
        <v>30</v>
      </c>
      <c r="E105" s="1549"/>
      <c r="F105" s="1552"/>
      <c r="G105" s="1550"/>
    </row>
    <row r="106" spans="1:7" s="1530" customFormat="1">
      <c r="A106" s="1069"/>
      <c r="B106" s="1067"/>
      <c r="C106" s="1535" t="s">
        <v>2698</v>
      </c>
      <c r="D106" s="1538" t="s">
        <v>2694</v>
      </c>
      <c r="E106" s="1549"/>
      <c r="F106" s="1552"/>
      <c r="G106" s="1550"/>
    </row>
    <row r="107" spans="1:7" s="1530" customFormat="1">
      <c r="A107" s="1069"/>
      <c r="B107" s="1067"/>
      <c r="C107" s="1535" t="s">
        <v>2699</v>
      </c>
      <c r="D107" s="1537">
        <v>30</v>
      </c>
      <c r="E107" s="1549"/>
      <c r="F107" s="1552"/>
      <c r="G107" s="1550"/>
    </row>
    <row r="108" spans="1:7" s="1530" customFormat="1">
      <c r="A108" s="1069"/>
      <c r="B108" s="1067"/>
      <c r="C108" s="1535" t="s">
        <v>2700</v>
      </c>
      <c r="D108" s="1537">
        <v>30</v>
      </c>
      <c r="E108" s="1549"/>
      <c r="F108" s="1551"/>
      <c r="G108" s="1549"/>
    </row>
    <row r="109" spans="1:7" s="1530" customFormat="1">
      <c r="A109" s="1069"/>
      <c r="B109" s="1067"/>
      <c r="C109" s="1535" t="s">
        <v>2701</v>
      </c>
      <c r="D109" s="1537">
        <v>30</v>
      </c>
      <c r="E109" s="1549"/>
      <c r="F109" s="1551"/>
      <c r="G109" s="1549"/>
    </row>
    <row r="110" spans="1:7" s="1530" customFormat="1">
      <c r="A110" s="1069"/>
      <c r="B110" s="1067"/>
      <c r="C110" s="1535"/>
      <c r="D110" s="1537"/>
      <c r="E110" s="1549"/>
      <c r="F110" s="1551"/>
      <c r="G110" s="1549"/>
    </row>
    <row r="111" spans="1:7" s="1530" customFormat="1">
      <c r="A111" s="1069"/>
      <c r="B111" s="1067"/>
      <c r="C111" s="1535" t="s">
        <v>2702</v>
      </c>
      <c r="D111" s="1537"/>
      <c r="E111" s="1549"/>
      <c r="F111" s="1551"/>
      <c r="G111" s="1549"/>
    </row>
    <row r="112" spans="1:7" s="1530" customFormat="1">
      <c r="A112" s="1069"/>
      <c r="B112" s="1067"/>
      <c r="C112" s="1535" t="s">
        <v>2703</v>
      </c>
      <c r="D112" s="1538" t="s">
        <v>2704</v>
      </c>
      <c r="E112" s="1549"/>
      <c r="F112" s="1551"/>
      <c r="G112" s="1549"/>
    </row>
    <row r="113" spans="1:7" s="1530" customFormat="1">
      <c r="A113" s="1069"/>
      <c r="B113" s="1067"/>
      <c r="C113" s="1535" t="s">
        <v>2705</v>
      </c>
      <c r="D113" s="1538" t="s">
        <v>2704</v>
      </c>
      <c r="E113" s="1549"/>
      <c r="F113" s="1549"/>
      <c r="G113" s="1549"/>
    </row>
    <row r="114" spans="1:7" s="1530" customFormat="1">
      <c r="A114" s="1069"/>
      <c r="B114" s="1067"/>
      <c r="C114" s="1535" t="s">
        <v>2706</v>
      </c>
      <c r="D114" s="1538" t="s">
        <v>2707</v>
      </c>
      <c r="E114" s="1070"/>
      <c r="F114" s="1070"/>
      <c r="G114" s="1070"/>
    </row>
    <row r="115" spans="1:7" s="1530" customFormat="1">
      <c r="A115" s="1069"/>
      <c r="B115" s="1067"/>
      <c r="C115" s="1535" t="s">
        <v>2708</v>
      </c>
      <c r="D115" s="1537">
        <v>30</v>
      </c>
      <c r="E115" s="1549"/>
      <c r="F115" s="1549"/>
      <c r="G115" s="1549"/>
    </row>
    <row r="116" spans="1:7" s="1530" customFormat="1">
      <c r="A116" s="1069"/>
      <c r="B116" s="1067"/>
      <c r="C116" s="1535" t="s">
        <v>2709</v>
      </c>
      <c r="D116" s="1538" t="s">
        <v>2707</v>
      </c>
      <c r="E116" s="1070"/>
      <c r="F116" s="1070"/>
      <c r="G116" s="1070"/>
    </row>
    <row r="117" spans="1:7" s="1530" customFormat="1">
      <c r="A117" s="1069"/>
      <c r="B117" s="1067"/>
      <c r="C117" s="1535" t="s">
        <v>2710</v>
      </c>
      <c r="D117" s="1538" t="s">
        <v>2704</v>
      </c>
      <c r="E117" s="1549"/>
      <c r="F117" s="1549"/>
      <c r="G117" s="1549"/>
    </row>
    <row r="118" spans="1:7" s="1530" customFormat="1">
      <c r="A118" s="1069"/>
      <c r="B118" s="1067"/>
      <c r="C118" s="1535"/>
      <c r="D118" s="1539"/>
      <c r="E118" s="1549"/>
      <c r="F118" s="1549"/>
      <c r="G118" s="1549"/>
    </row>
    <row r="119" spans="1:7" s="1530" customFormat="1">
      <c r="A119" s="1069"/>
      <c r="B119" s="1067"/>
      <c r="C119" s="1535" t="s">
        <v>2711</v>
      </c>
      <c r="D119" s="1539"/>
      <c r="E119" s="1549"/>
      <c r="F119" s="1549"/>
      <c r="G119" s="1549"/>
    </row>
    <row r="120" spans="1:7" s="1530" customFormat="1">
      <c r="A120" s="1069"/>
      <c r="B120" s="1067"/>
      <c r="C120" s="1535"/>
      <c r="D120" s="1539"/>
      <c r="E120" s="1549"/>
      <c r="F120" s="1549"/>
      <c r="G120" s="1549"/>
    </row>
    <row r="121" spans="1:7" s="1530" customFormat="1" ht="38.25">
      <c r="A121" s="1069"/>
      <c r="B121" s="1067"/>
      <c r="C121" s="1535" t="s">
        <v>2712</v>
      </c>
      <c r="D121" s="1539"/>
      <c r="E121" s="1549"/>
      <c r="F121" s="1549"/>
      <c r="G121" s="1549"/>
    </row>
    <row r="122" spans="1:7" s="1530" customFormat="1">
      <c r="A122" s="1069"/>
      <c r="B122" s="1067"/>
      <c r="C122" s="1535"/>
      <c r="D122" s="1539"/>
      <c r="E122" s="1549"/>
      <c r="F122" s="1549"/>
      <c r="G122" s="1549"/>
    </row>
    <row r="123" spans="1:7" s="1530" customFormat="1">
      <c r="A123" s="1069"/>
      <c r="B123" s="1067"/>
      <c r="C123" s="1535" t="s">
        <v>2713</v>
      </c>
      <c r="D123" s="1539"/>
      <c r="E123" s="1549"/>
      <c r="F123" s="1549"/>
      <c r="G123" s="1549"/>
    </row>
    <row r="124" spans="1:7" s="1530" customFormat="1">
      <c r="A124" s="1069"/>
      <c r="B124" s="1067"/>
      <c r="C124" s="1535"/>
      <c r="D124" s="1539"/>
      <c r="E124" s="1549"/>
      <c r="F124" s="1549"/>
      <c r="G124" s="1549"/>
    </row>
    <row r="125" spans="1:7" s="1530" customFormat="1" ht="38.25">
      <c r="A125" s="1069"/>
      <c r="B125" s="1067"/>
      <c r="C125" s="1535" t="s">
        <v>2714</v>
      </c>
      <c r="D125" s="1539"/>
      <c r="E125" s="1549"/>
      <c r="F125" s="1549"/>
      <c r="G125" s="1549"/>
    </row>
    <row r="126" spans="1:7" s="1530" customFormat="1">
      <c r="A126" s="1069"/>
      <c r="B126" s="1067"/>
      <c r="C126" s="1535"/>
      <c r="D126" s="1539"/>
      <c r="E126" s="1549"/>
      <c r="F126" s="1549"/>
      <c r="G126" s="1549"/>
    </row>
    <row r="127" spans="1:7" s="1530" customFormat="1" ht="38.25">
      <c r="A127" s="1069"/>
      <c r="B127" s="1067"/>
      <c r="C127" s="1535" t="s">
        <v>2715</v>
      </c>
      <c r="D127" s="1539"/>
      <c r="E127" s="1549"/>
      <c r="F127" s="1549"/>
      <c r="G127" s="1549"/>
    </row>
    <row r="128" spans="1:7" s="1530" customFormat="1">
      <c r="A128" s="1069"/>
      <c r="B128" s="1067"/>
      <c r="C128" s="1535"/>
      <c r="D128" s="1539"/>
      <c r="E128" s="1549"/>
      <c r="F128" s="1549"/>
      <c r="G128" s="1549"/>
    </row>
    <row r="129" spans="1:7" s="1530" customFormat="1" ht="38.25">
      <c r="A129" s="1069"/>
      <c r="B129" s="1067"/>
      <c r="C129" s="1535" t="s">
        <v>2716</v>
      </c>
      <c r="D129" s="1539"/>
      <c r="E129" s="1549"/>
      <c r="F129" s="1549"/>
      <c r="G129" s="1549"/>
    </row>
    <row r="130" spans="1:7" s="1530" customFormat="1">
      <c r="A130" s="1069"/>
      <c r="B130" s="1067"/>
      <c r="C130" s="1535"/>
      <c r="D130" s="1539"/>
      <c r="E130" s="1549"/>
      <c r="F130" s="1549"/>
      <c r="G130" s="1549"/>
    </row>
    <row r="131" spans="1:7" s="1530" customFormat="1" ht="25.5">
      <c r="A131" s="1069"/>
      <c r="B131" s="1067"/>
      <c r="C131" s="1535" t="s">
        <v>2717</v>
      </c>
      <c r="D131" s="1539"/>
      <c r="E131" s="1549"/>
      <c r="F131" s="1549"/>
      <c r="G131" s="1549"/>
    </row>
    <row r="132" spans="1:7" s="1530" customFormat="1">
      <c r="A132" s="1069"/>
      <c r="B132" s="1067"/>
      <c r="C132" s="1535"/>
      <c r="D132" s="1539"/>
      <c r="E132" s="1549"/>
      <c r="F132" s="1549"/>
      <c r="G132" s="1549"/>
    </row>
    <row r="133" spans="1:7" s="1530" customFormat="1">
      <c r="A133" s="1069"/>
      <c r="B133" s="1067"/>
      <c r="C133" s="1535" t="s">
        <v>525</v>
      </c>
      <c r="D133" s="1539"/>
      <c r="E133" s="1549"/>
      <c r="F133" s="1549"/>
      <c r="G133" s="1549"/>
    </row>
    <row r="134" spans="1:7" s="1530" customFormat="1">
      <c r="A134" s="1069"/>
      <c r="B134" s="1067"/>
      <c r="C134" s="1535"/>
      <c r="D134" s="1539"/>
      <c r="E134" s="1549"/>
      <c r="F134" s="1549"/>
      <c r="G134" s="1549"/>
    </row>
    <row r="135" spans="1:7" s="1530" customFormat="1">
      <c r="A135" s="1069"/>
      <c r="B135" s="1067"/>
      <c r="C135" s="1535" t="s">
        <v>2718</v>
      </c>
      <c r="D135" s="1539"/>
      <c r="E135" s="1549"/>
      <c r="F135" s="1549"/>
      <c r="G135" s="1549"/>
    </row>
    <row r="136" spans="1:7" s="1530" customFormat="1" ht="38.25">
      <c r="A136" s="1069"/>
      <c r="B136" s="1067"/>
      <c r="C136" s="1535" t="s">
        <v>2719</v>
      </c>
      <c r="D136" s="1539"/>
      <c r="E136" s="1549"/>
      <c r="F136" s="1549"/>
      <c r="G136" s="1549"/>
    </row>
    <row r="137" spans="1:7" s="1530" customFormat="1">
      <c r="A137" s="1069"/>
      <c r="B137" s="1067"/>
      <c r="C137" s="1535"/>
      <c r="D137" s="1539"/>
      <c r="E137" s="1549"/>
      <c r="F137" s="1549"/>
      <c r="G137" s="1549"/>
    </row>
    <row r="138" spans="1:7" s="1530" customFormat="1">
      <c r="A138" s="1069"/>
      <c r="B138" s="1067" t="s">
        <v>2866</v>
      </c>
      <c r="C138" s="1071" t="s">
        <v>2574</v>
      </c>
      <c r="D138" s="1549"/>
      <c r="E138" s="1549"/>
      <c r="F138" s="1549"/>
      <c r="G138" s="1549"/>
    </row>
    <row r="139" spans="1:7" s="1530" customFormat="1" ht="63.75">
      <c r="A139" s="1069"/>
      <c r="B139" s="1067"/>
      <c r="C139" s="1070" t="s">
        <v>2575</v>
      </c>
      <c r="D139" s="1070"/>
      <c r="E139" s="1070"/>
      <c r="F139" s="1070"/>
      <c r="G139" s="1070"/>
    </row>
    <row r="140" spans="1:7" s="1530" customFormat="1">
      <c r="A140" s="1069"/>
      <c r="B140" s="1067"/>
      <c r="C140" s="1549"/>
      <c r="D140" s="1549"/>
      <c r="E140" s="1549"/>
      <c r="F140" s="1549"/>
      <c r="G140" s="1549"/>
    </row>
    <row r="141" spans="1:7" s="1530" customFormat="1">
      <c r="A141" s="1524" t="s">
        <v>2860</v>
      </c>
      <c r="B141" s="1067" t="s">
        <v>321</v>
      </c>
      <c r="C141" s="1549"/>
      <c r="D141" s="1549"/>
      <c r="E141" s="1549"/>
      <c r="F141" s="1549"/>
      <c r="G141" s="1549"/>
    </row>
    <row r="142" spans="1:7" s="1530" customFormat="1">
      <c r="A142" s="1069"/>
      <c r="B142" s="1067"/>
      <c r="C142" s="1549"/>
      <c r="D142" s="1549"/>
      <c r="E142" s="1549"/>
      <c r="F142" s="1549"/>
      <c r="G142" s="1549"/>
    </row>
    <row r="143" spans="1:7" s="1530" customFormat="1">
      <c r="A143" s="1069"/>
      <c r="B143" s="1067" t="s">
        <v>2867</v>
      </c>
      <c r="C143" s="1071" t="s">
        <v>2560</v>
      </c>
      <c r="D143" s="1549"/>
      <c r="E143" s="1549"/>
      <c r="F143" s="1549"/>
      <c r="G143" s="1549"/>
    </row>
    <row r="144" spans="1:7" s="1530" customFormat="1" ht="69.75" customHeight="1">
      <c r="A144" s="1069"/>
      <c r="B144" s="1067"/>
      <c r="C144" s="1070" t="s">
        <v>2576</v>
      </c>
      <c r="D144" s="1070"/>
      <c r="E144" s="1070"/>
      <c r="F144" s="1070"/>
      <c r="G144" s="1070"/>
    </row>
    <row r="145" spans="1:7" s="1530" customFormat="1">
      <c r="A145" s="1069"/>
      <c r="B145" s="1067"/>
      <c r="C145" s="1540"/>
      <c r="D145" s="1540"/>
      <c r="E145" s="1540"/>
      <c r="F145" s="1540"/>
      <c r="G145" s="1540"/>
    </row>
    <row r="146" spans="1:7" s="1530" customFormat="1" ht="89.25">
      <c r="A146" s="1069"/>
      <c r="B146" s="1067"/>
      <c r="C146" s="1070" t="s">
        <v>2577</v>
      </c>
      <c r="D146" s="1070"/>
      <c r="E146" s="1070"/>
      <c r="F146" s="1070"/>
      <c r="G146" s="1070"/>
    </row>
    <row r="147" spans="1:7" s="1530" customFormat="1">
      <c r="A147" s="1069"/>
      <c r="B147" s="1067"/>
      <c r="C147" s="1540"/>
      <c r="D147" s="1540"/>
      <c r="E147" s="1540"/>
      <c r="F147" s="1540"/>
      <c r="G147" s="1540"/>
    </row>
    <row r="148" spans="1:7" s="1530" customFormat="1">
      <c r="A148" s="1069"/>
      <c r="B148" s="1067"/>
      <c r="C148" s="1072" t="s">
        <v>2578</v>
      </c>
      <c r="D148" s="1072"/>
      <c r="E148" s="1072"/>
      <c r="F148" s="1072"/>
      <c r="G148" s="1072"/>
    </row>
    <row r="149" spans="1:7" s="1530" customFormat="1">
      <c r="A149" s="1069"/>
      <c r="B149" s="1067"/>
      <c r="C149" s="1540"/>
      <c r="D149" s="1540"/>
      <c r="E149" s="1540"/>
      <c r="F149" s="1540"/>
      <c r="G149" s="1540"/>
    </row>
    <row r="150" spans="1:7" s="1530" customFormat="1" ht="38.25">
      <c r="A150" s="1069"/>
      <c r="B150" s="1067"/>
      <c r="C150" s="1070" t="s">
        <v>2579</v>
      </c>
      <c r="D150" s="1070"/>
      <c r="E150" s="1070"/>
      <c r="F150" s="1070"/>
      <c r="G150" s="1070"/>
    </row>
    <row r="151" spans="1:7" s="1530" customFormat="1">
      <c r="A151" s="1069"/>
      <c r="B151" s="1067"/>
      <c r="C151" s="1540"/>
      <c r="D151" s="1540"/>
      <c r="E151" s="1540"/>
      <c r="F151" s="1540"/>
      <c r="G151" s="1540"/>
    </row>
    <row r="152" spans="1:7" s="1530" customFormat="1" ht="51">
      <c r="A152" s="1069"/>
      <c r="B152" s="1067"/>
      <c r="C152" s="1070" t="s">
        <v>2580</v>
      </c>
      <c r="D152" s="1070"/>
      <c r="E152" s="1070"/>
      <c r="F152" s="1070"/>
      <c r="G152" s="1070"/>
    </row>
    <row r="153" spans="1:7" s="1530" customFormat="1">
      <c r="A153" s="1069"/>
      <c r="B153" s="1067"/>
      <c r="C153" s="1549"/>
      <c r="D153" s="1549"/>
      <c r="E153" s="1549"/>
      <c r="F153" s="1549"/>
      <c r="G153" s="1549"/>
    </row>
    <row r="154" spans="1:7" s="1530" customFormat="1" ht="89.25">
      <c r="A154" s="1069"/>
      <c r="B154" s="1067"/>
      <c r="C154" s="1535" t="s">
        <v>2723</v>
      </c>
      <c r="D154" s="1549"/>
      <c r="E154" s="1549"/>
      <c r="F154" s="1549"/>
      <c r="G154" s="1549"/>
    </row>
    <row r="155" spans="1:7" s="1530" customFormat="1">
      <c r="A155" s="1069"/>
      <c r="B155" s="1067"/>
      <c r="C155" s="1535"/>
      <c r="D155" s="1549"/>
      <c r="E155" s="1549"/>
      <c r="F155" s="1549"/>
      <c r="G155" s="1549"/>
    </row>
    <row r="156" spans="1:7" s="1530" customFormat="1" ht="38.25">
      <c r="A156" s="1069"/>
      <c r="B156" s="1067"/>
      <c r="C156" s="1535" t="s">
        <v>2724</v>
      </c>
      <c r="D156" s="1549"/>
      <c r="E156" s="1549"/>
      <c r="F156" s="1549"/>
      <c r="G156" s="1549"/>
    </row>
    <row r="157" spans="1:7" s="1530" customFormat="1">
      <c r="A157" s="1069"/>
      <c r="B157" s="1067"/>
      <c r="C157" s="1535"/>
      <c r="D157" s="1549"/>
      <c r="E157" s="1549"/>
      <c r="F157" s="1549"/>
      <c r="G157" s="1549"/>
    </row>
    <row r="158" spans="1:7" s="1530" customFormat="1" ht="25.5">
      <c r="A158" s="1069"/>
      <c r="B158" s="1067"/>
      <c r="C158" s="1535" t="s">
        <v>2725</v>
      </c>
      <c r="D158" s="1549"/>
      <c r="E158" s="1549"/>
      <c r="F158" s="1549"/>
      <c r="G158" s="1549"/>
    </row>
    <row r="159" spans="1:7" s="1530" customFormat="1">
      <c r="A159" s="1069"/>
      <c r="B159" s="1067"/>
      <c r="C159" s="1535"/>
      <c r="D159" s="1549"/>
      <c r="E159" s="1549"/>
      <c r="F159" s="1549"/>
      <c r="G159" s="1549"/>
    </row>
    <row r="160" spans="1:7" s="1530" customFormat="1" ht="76.5">
      <c r="A160" s="1069"/>
      <c r="B160" s="1067"/>
      <c r="C160" s="1086" t="s">
        <v>2726</v>
      </c>
      <c r="D160" s="1549"/>
      <c r="E160" s="1549"/>
      <c r="F160" s="1549"/>
      <c r="G160" s="1549"/>
    </row>
    <row r="161" spans="1:7" s="1530" customFormat="1">
      <c r="A161" s="1069"/>
      <c r="B161" s="1067"/>
      <c r="C161" s="1535"/>
      <c r="D161" s="1549"/>
      <c r="E161" s="1549"/>
      <c r="F161" s="1549"/>
      <c r="G161" s="1549"/>
    </row>
    <row r="162" spans="1:7" s="1530" customFormat="1">
      <c r="A162" s="1069"/>
      <c r="B162" s="1067" t="s">
        <v>2868</v>
      </c>
      <c r="C162" s="1071" t="s">
        <v>2570</v>
      </c>
      <c r="D162" s="1549"/>
      <c r="E162" s="1549"/>
      <c r="F162" s="1549"/>
      <c r="G162" s="1549"/>
    </row>
    <row r="163" spans="1:7" s="1530" customFormat="1" ht="51">
      <c r="A163" s="1069"/>
      <c r="B163" s="1067"/>
      <c r="C163" s="1070" t="s">
        <v>2581</v>
      </c>
      <c r="D163" s="1070"/>
      <c r="E163" s="1070"/>
      <c r="F163" s="1070"/>
      <c r="G163" s="1070"/>
    </row>
    <row r="164" spans="1:7" s="1530" customFormat="1">
      <c r="A164" s="1069"/>
      <c r="B164" s="1067"/>
      <c r="C164" s="1549"/>
      <c r="D164" s="1549"/>
      <c r="E164" s="1549"/>
      <c r="F164" s="1549"/>
      <c r="G164" s="1549"/>
    </row>
    <row r="165" spans="1:7" s="1530" customFormat="1">
      <c r="A165" s="1069"/>
      <c r="B165" s="1067" t="s">
        <v>2869</v>
      </c>
      <c r="C165" s="1071" t="s">
        <v>2582</v>
      </c>
      <c r="D165" s="1549"/>
      <c r="E165" s="1549"/>
      <c r="F165" s="1549"/>
      <c r="G165" s="1549"/>
    </row>
    <row r="166" spans="1:7" s="1530" customFormat="1" ht="38.25">
      <c r="A166" s="1069"/>
      <c r="B166" s="1067"/>
      <c r="C166" s="1070" t="s">
        <v>2583</v>
      </c>
      <c r="D166" s="1070"/>
      <c r="E166" s="1070"/>
      <c r="F166" s="1070"/>
      <c r="G166" s="1070"/>
    </row>
    <row r="167" spans="1:7" s="1530" customFormat="1">
      <c r="A167" s="1069"/>
      <c r="B167" s="1067"/>
      <c r="C167" s="1549"/>
      <c r="D167" s="1549"/>
      <c r="E167" s="1549"/>
      <c r="F167" s="1549"/>
      <c r="G167" s="1549"/>
    </row>
    <row r="168" spans="1:7" s="1530" customFormat="1">
      <c r="A168" s="1069"/>
      <c r="B168" s="1067"/>
      <c r="C168" s="1541" t="s">
        <v>1636</v>
      </c>
      <c r="D168" s="1553" t="s">
        <v>2827</v>
      </c>
      <c r="E168" s="1541"/>
      <c r="F168" s="1549"/>
      <c r="G168" s="1549"/>
    </row>
    <row r="169" spans="1:7" s="1530" customFormat="1">
      <c r="A169" s="1076"/>
      <c r="B169" s="1067"/>
      <c r="C169" s="1549"/>
      <c r="D169" s="1549"/>
      <c r="E169" s="1549"/>
      <c r="F169" s="1549"/>
      <c r="G169" s="1549"/>
    </row>
    <row r="170" spans="1:7" s="1530" customFormat="1" ht="38.25">
      <c r="A170" s="1069"/>
      <c r="B170" s="1067"/>
      <c r="C170" s="1070" t="s">
        <v>2584</v>
      </c>
      <c r="D170" s="1070"/>
      <c r="E170" s="1070"/>
      <c r="F170" s="1070"/>
      <c r="G170" s="1070"/>
    </row>
    <row r="171" spans="1:7" s="1530" customFormat="1">
      <c r="A171" s="1069"/>
      <c r="B171" s="1067"/>
      <c r="C171" s="1549"/>
      <c r="D171" s="1549"/>
      <c r="E171" s="1549"/>
      <c r="F171" s="1549"/>
      <c r="G171" s="1549"/>
    </row>
    <row r="172" spans="1:7" s="1530" customFormat="1" ht="89.25">
      <c r="A172" s="1069"/>
      <c r="B172" s="1067"/>
      <c r="C172" s="1070" t="s">
        <v>2585</v>
      </c>
      <c r="D172" s="1070"/>
      <c r="E172" s="1070"/>
      <c r="F172" s="1070"/>
      <c r="G172" s="1070"/>
    </row>
    <row r="173" spans="1:7" s="1530" customFormat="1">
      <c r="A173" s="1069"/>
      <c r="B173" s="1067"/>
      <c r="C173" s="1549"/>
      <c r="D173" s="1549"/>
      <c r="E173" s="1549"/>
      <c r="F173" s="1549"/>
      <c r="G173" s="1549"/>
    </row>
    <row r="174" spans="1:7" s="1530" customFormat="1">
      <c r="A174" s="1069"/>
      <c r="B174" s="1067" t="s">
        <v>2870</v>
      </c>
      <c r="C174" s="1071" t="s">
        <v>2574</v>
      </c>
      <c r="D174" s="1549"/>
      <c r="E174" s="1549"/>
      <c r="F174" s="1549"/>
      <c r="G174" s="1549"/>
    </row>
    <row r="175" spans="1:7" s="1530" customFormat="1" ht="63.75">
      <c r="A175" s="1069"/>
      <c r="B175" s="1067"/>
      <c r="C175" s="1070" t="s">
        <v>2586</v>
      </c>
      <c r="D175" s="1070"/>
      <c r="E175" s="1070"/>
      <c r="F175" s="1070"/>
      <c r="G175" s="1070"/>
    </row>
    <row r="176" spans="1:7" s="1530" customFormat="1">
      <c r="A176" s="1069"/>
      <c r="B176" s="1067"/>
      <c r="C176" s="1549"/>
      <c r="D176" s="1549"/>
      <c r="E176" s="1549"/>
      <c r="F176" s="1549"/>
      <c r="G176" s="1549"/>
    </row>
    <row r="177" spans="1:7" s="1530" customFormat="1">
      <c r="A177" s="1524" t="s">
        <v>2859</v>
      </c>
      <c r="B177" s="1067" t="s">
        <v>1224</v>
      </c>
      <c r="C177" s="1549"/>
      <c r="D177" s="1549"/>
      <c r="E177" s="1549"/>
      <c r="F177" s="1549"/>
      <c r="G177" s="1549"/>
    </row>
    <row r="178" spans="1:7" s="1530" customFormat="1">
      <c r="A178" s="1069"/>
      <c r="B178" s="1067"/>
      <c r="C178" s="1549"/>
      <c r="D178" s="1549"/>
      <c r="E178" s="1549"/>
      <c r="F178" s="1549"/>
      <c r="G178" s="1549"/>
    </row>
    <row r="179" spans="1:7" s="1530" customFormat="1">
      <c r="A179" s="1069"/>
      <c r="B179" s="1067" t="s">
        <v>2871</v>
      </c>
      <c r="C179" s="1071" t="s">
        <v>2560</v>
      </c>
      <c r="D179" s="1549"/>
      <c r="E179" s="1549"/>
      <c r="F179" s="1549"/>
      <c r="G179" s="1549"/>
    </row>
    <row r="180" spans="1:7" s="1530" customFormat="1" ht="51">
      <c r="A180" s="1069"/>
      <c r="B180" s="1067"/>
      <c r="C180" s="1070" t="s">
        <v>2587</v>
      </c>
      <c r="D180" s="1070"/>
      <c r="E180" s="1070"/>
      <c r="F180" s="1070"/>
      <c r="G180" s="1070"/>
    </row>
    <row r="181" spans="1:7" s="1530" customFormat="1">
      <c r="A181" s="1069"/>
      <c r="B181" s="1067"/>
      <c r="C181" s="1549"/>
      <c r="D181" s="1549"/>
      <c r="E181" s="1549"/>
      <c r="F181" s="1549"/>
      <c r="G181" s="1549"/>
    </row>
    <row r="182" spans="1:7" s="1530" customFormat="1" ht="63.75">
      <c r="A182" s="1069"/>
      <c r="B182" s="1067"/>
      <c r="C182" s="1070" t="s">
        <v>2588</v>
      </c>
      <c r="D182" s="1070"/>
      <c r="E182" s="1070"/>
      <c r="F182" s="1070"/>
      <c r="G182" s="1070"/>
    </row>
    <row r="183" spans="1:7" s="1530" customFormat="1">
      <c r="A183" s="1069"/>
      <c r="B183" s="1067"/>
      <c r="C183" s="1549"/>
      <c r="D183" s="1549"/>
      <c r="E183" s="1549"/>
      <c r="F183" s="1549"/>
      <c r="G183" s="1549"/>
    </row>
    <row r="184" spans="1:7" s="1530" customFormat="1">
      <c r="A184" s="1069"/>
      <c r="B184" s="1067"/>
      <c r="C184" s="1072" t="s">
        <v>2589</v>
      </c>
      <c r="D184" s="1072"/>
      <c r="E184" s="1072"/>
      <c r="F184" s="1072"/>
      <c r="G184" s="1072"/>
    </row>
    <row r="185" spans="1:7" s="1074" customFormat="1" ht="38.25">
      <c r="A185" s="1069"/>
      <c r="B185" s="1067"/>
      <c r="C185" s="1086" t="s">
        <v>2828</v>
      </c>
      <c r="D185" s="1549"/>
      <c r="E185" s="1549"/>
      <c r="F185" s="1549"/>
      <c r="G185" s="1549"/>
    </row>
    <row r="186" spans="1:7" s="1074" customFormat="1">
      <c r="A186" s="1069"/>
      <c r="B186" s="1067"/>
      <c r="C186" s="1549"/>
      <c r="D186" s="1549"/>
      <c r="E186" s="1549"/>
      <c r="F186" s="1549"/>
      <c r="G186" s="1549"/>
    </row>
    <row r="187" spans="1:7" s="1530" customFormat="1">
      <c r="A187" s="1069"/>
      <c r="B187" s="1067"/>
      <c r="C187" s="1549"/>
      <c r="D187" s="1549"/>
      <c r="E187" s="1549"/>
      <c r="F187" s="1549"/>
      <c r="G187" s="1549"/>
    </row>
    <row r="188" spans="1:7" s="1530" customFormat="1">
      <c r="A188" s="1069"/>
      <c r="B188" s="1067" t="s">
        <v>2872</v>
      </c>
      <c r="C188" s="1071" t="s">
        <v>2590</v>
      </c>
      <c r="D188" s="1549"/>
      <c r="E188" s="1549"/>
      <c r="F188" s="1549"/>
      <c r="G188" s="1549"/>
    </row>
    <row r="189" spans="1:7" s="1530" customFormat="1" ht="51">
      <c r="A189" s="1069"/>
      <c r="B189" s="1067"/>
      <c r="C189" s="1070" t="s">
        <v>2591</v>
      </c>
      <c r="D189" s="1070"/>
      <c r="E189" s="1070"/>
      <c r="F189" s="1070"/>
      <c r="G189" s="1070"/>
    </row>
    <row r="190" spans="1:7" s="1530" customFormat="1" ht="25.5" hidden="1">
      <c r="A190" s="1069"/>
      <c r="B190" s="1067"/>
      <c r="C190" s="1554" t="s">
        <v>2593</v>
      </c>
      <c r="D190" s="1554"/>
      <c r="E190" s="1554"/>
      <c r="F190" s="1554"/>
      <c r="G190" s="1554"/>
    </row>
    <row r="191" spans="1:7" s="1530" customFormat="1" hidden="1">
      <c r="A191" s="1069"/>
      <c r="B191" s="1067"/>
      <c r="C191" s="1550" t="s">
        <v>2594</v>
      </c>
      <c r="D191" s="1550"/>
      <c r="E191" s="1550"/>
      <c r="F191" s="1550"/>
      <c r="G191" s="1550"/>
    </row>
    <row r="192" spans="1:7" s="1530" customFormat="1" ht="38.25" hidden="1">
      <c r="A192" s="1069"/>
      <c r="B192" s="1067"/>
      <c r="C192" s="1555" t="s">
        <v>2595</v>
      </c>
      <c r="D192" s="1555"/>
      <c r="E192" s="1555"/>
      <c r="F192" s="1555"/>
      <c r="G192" s="1555"/>
    </row>
    <row r="193" spans="1:7" s="1074" customFormat="1" ht="25.5" hidden="1">
      <c r="A193" s="1069"/>
      <c r="B193" s="1067"/>
      <c r="C193" s="1554" t="s">
        <v>2596</v>
      </c>
      <c r="D193" s="1554"/>
      <c r="E193" s="1554"/>
      <c r="F193" s="1554"/>
      <c r="G193" s="1554"/>
    </row>
    <row r="194" spans="1:7" s="1530" customFormat="1" hidden="1">
      <c r="A194" s="1069"/>
      <c r="B194" s="1067"/>
      <c r="C194" s="1540"/>
      <c r="D194" s="1540"/>
      <c r="E194" s="1540"/>
      <c r="F194" s="1540"/>
      <c r="G194" s="1540"/>
    </row>
    <row r="195" spans="1:7" s="1530" customFormat="1" ht="38.25" hidden="1">
      <c r="A195" s="1069"/>
      <c r="B195" s="1067"/>
      <c r="C195" s="1077" t="s">
        <v>2597</v>
      </c>
      <c r="D195" s="1077"/>
      <c r="E195" s="1077"/>
      <c r="F195" s="1077"/>
      <c r="G195" s="1077"/>
    </row>
    <row r="196" spans="1:7" s="1530" customFormat="1" ht="38.25" hidden="1">
      <c r="A196" s="1069"/>
      <c r="B196" s="1067"/>
      <c r="C196" s="1554" t="s">
        <v>2598</v>
      </c>
      <c r="D196" s="1554"/>
      <c r="E196" s="1554"/>
      <c r="F196" s="1554"/>
      <c r="G196" s="1554"/>
    </row>
    <row r="197" spans="1:7" s="1530" customFormat="1" ht="25.5" hidden="1">
      <c r="A197" s="1069"/>
      <c r="B197" s="1067"/>
      <c r="C197" s="1554" t="s">
        <v>2599</v>
      </c>
      <c r="D197" s="1554"/>
      <c r="E197" s="1554"/>
      <c r="F197" s="1554"/>
      <c r="G197" s="1554"/>
    </row>
    <row r="198" spans="1:7" s="1530" customFormat="1" ht="38.25" hidden="1">
      <c r="A198" s="1069"/>
      <c r="B198" s="1067"/>
      <c r="C198" s="1554" t="s">
        <v>2600</v>
      </c>
      <c r="D198" s="1552"/>
      <c r="E198" s="1552"/>
      <c r="F198" s="1552"/>
      <c r="G198" s="1552"/>
    </row>
    <row r="199" spans="1:7" s="1530" customFormat="1" hidden="1">
      <c r="A199" s="1069"/>
      <c r="B199" s="1067"/>
      <c r="C199" s="1549"/>
      <c r="D199" s="1549"/>
      <c r="E199" s="1549"/>
      <c r="F199" s="1549"/>
      <c r="G199" s="1549"/>
    </row>
    <row r="200" spans="1:7" s="1530" customFormat="1" hidden="1">
      <c r="A200" s="1069"/>
      <c r="B200" s="1067"/>
      <c r="C200" s="1075" t="s">
        <v>2601</v>
      </c>
      <c r="D200" s="1556" t="s">
        <v>1287</v>
      </c>
      <c r="E200" s="1549"/>
      <c r="F200" s="1549"/>
      <c r="G200" s="1549"/>
    </row>
    <row r="201" spans="1:7" s="1530" customFormat="1" hidden="1">
      <c r="A201" s="1069"/>
      <c r="B201" s="1067"/>
      <c r="C201" s="1552" t="s">
        <v>2602</v>
      </c>
      <c r="D201" s="1550"/>
      <c r="E201" s="1549"/>
      <c r="F201" s="1549"/>
      <c r="G201" s="1549"/>
    </row>
    <row r="202" spans="1:7" s="1530" customFormat="1" hidden="1">
      <c r="A202" s="1069"/>
      <c r="B202" s="1067"/>
      <c r="C202" s="1552" t="s">
        <v>2603</v>
      </c>
      <c r="D202" s="1550"/>
      <c r="E202" s="1549"/>
      <c r="F202" s="1549"/>
      <c r="G202" s="1549"/>
    </row>
    <row r="203" spans="1:7" s="1530" customFormat="1" hidden="1">
      <c r="A203" s="1069"/>
      <c r="B203" s="1067"/>
      <c r="C203" s="1552" t="s">
        <v>2604</v>
      </c>
      <c r="D203" s="1550"/>
      <c r="E203" s="1549"/>
      <c r="F203" s="1549"/>
      <c r="G203" s="1549"/>
    </row>
    <row r="204" spans="1:7" s="1530" customFormat="1" hidden="1">
      <c r="A204" s="1069"/>
      <c r="B204" s="1067"/>
      <c r="C204" s="1552" t="s">
        <v>2605</v>
      </c>
      <c r="D204" s="1550"/>
      <c r="E204" s="1549"/>
      <c r="F204" s="1549"/>
      <c r="G204" s="1549"/>
    </row>
    <row r="205" spans="1:7" s="1530" customFormat="1" hidden="1">
      <c r="A205" s="1069"/>
      <c r="B205" s="1067"/>
      <c r="C205" s="1552" t="s">
        <v>2606</v>
      </c>
      <c r="D205" s="1550"/>
      <c r="E205" s="1549"/>
      <c r="F205" s="1549"/>
      <c r="G205" s="1549"/>
    </row>
    <row r="206" spans="1:7" s="1530" customFormat="1" hidden="1">
      <c r="A206" s="1069"/>
      <c r="B206" s="1067"/>
      <c r="C206" s="1552" t="s">
        <v>2607</v>
      </c>
      <c r="D206" s="1550"/>
      <c r="E206" s="1549"/>
      <c r="F206" s="1549"/>
      <c r="G206" s="1549"/>
    </row>
    <row r="207" spans="1:7" s="1530" customFormat="1" hidden="1">
      <c r="A207" s="1069"/>
      <c r="B207" s="1067"/>
      <c r="C207" s="1552" t="s">
        <v>1354</v>
      </c>
      <c r="D207" s="1550"/>
      <c r="E207" s="1549"/>
      <c r="F207" s="1549"/>
      <c r="G207" s="1549"/>
    </row>
    <row r="208" spans="1:7" s="1530" customFormat="1">
      <c r="A208" s="1069"/>
      <c r="B208" s="1067"/>
      <c r="C208" s="1549"/>
      <c r="D208" s="1549"/>
      <c r="E208" s="1549"/>
      <c r="F208" s="1549"/>
      <c r="G208" s="1549"/>
    </row>
    <row r="209" spans="1:7" s="1530" customFormat="1">
      <c r="A209" s="1524" t="s">
        <v>2858</v>
      </c>
      <c r="B209" s="135" t="s">
        <v>2608</v>
      </c>
      <c r="C209" s="1549"/>
      <c r="D209" s="1549"/>
      <c r="E209" s="1549"/>
      <c r="F209" s="1549"/>
      <c r="G209" s="1549"/>
    </row>
    <row r="210" spans="1:7" s="1530" customFormat="1">
      <c r="A210" s="1069"/>
      <c r="B210" s="1067"/>
      <c r="C210" s="1549"/>
      <c r="D210" s="1549"/>
      <c r="E210" s="1549"/>
      <c r="F210" s="1549"/>
      <c r="G210" s="1549"/>
    </row>
    <row r="211" spans="1:7" s="1530" customFormat="1">
      <c r="A211" s="1069"/>
      <c r="B211" s="1067" t="s">
        <v>2873</v>
      </c>
      <c r="C211" s="1071" t="s">
        <v>2560</v>
      </c>
      <c r="D211" s="1549"/>
      <c r="E211" s="1549"/>
      <c r="F211" s="1549"/>
      <c r="G211" s="1549"/>
    </row>
    <row r="212" spans="1:7" s="1530" customFormat="1" ht="76.5">
      <c r="A212" s="1069"/>
      <c r="B212" s="1067"/>
      <c r="C212" s="1070" t="s">
        <v>2609</v>
      </c>
      <c r="D212" s="1070"/>
      <c r="E212" s="1070"/>
      <c r="F212" s="1070"/>
      <c r="G212" s="1070"/>
    </row>
    <row r="213" spans="1:7" s="1530" customFormat="1">
      <c r="A213" s="1069"/>
      <c r="B213" s="1067"/>
      <c r="C213" s="1549"/>
      <c r="D213" s="1549"/>
      <c r="E213" s="1549"/>
      <c r="F213" s="1549"/>
      <c r="G213" s="1549"/>
    </row>
    <row r="214" spans="1:7" s="1530" customFormat="1" ht="38.25">
      <c r="A214" s="1069"/>
      <c r="B214" s="1067"/>
      <c r="C214" s="1070" t="s">
        <v>2610</v>
      </c>
      <c r="D214" s="1070"/>
      <c r="E214" s="1070"/>
      <c r="F214" s="1070"/>
      <c r="G214" s="1070"/>
    </row>
    <row r="215" spans="1:7" s="1530" customFormat="1">
      <c r="A215" s="1069"/>
      <c r="B215" s="1067"/>
      <c r="C215" s="1549"/>
      <c r="D215" s="1549"/>
      <c r="E215" s="1549"/>
      <c r="F215" s="1549"/>
      <c r="G215" s="1549"/>
    </row>
    <row r="216" spans="1:7" s="1530" customFormat="1">
      <c r="A216" s="1069"/>
      <c r="B216" s="1067" t="s">
        <v>2874</v>
      </c>
      <c r="C216" s="1071" t="s">
        <v>2592</v>
      </c>
      <c r="D216" s="1549"/>
      <c r="E216" s="1549"/>
      <c r="F216" s="1549"/>
      <c r="G216" s="1549"/>
    </row>
    <row r="217" spans="1:7" s="1530" customFormat="1" ht="114.75">
      <c r="A217" s="1069"/>
      <c r="B217" s="1067"/>
      <c r="C217" s="1070" t="s">
        <v>2611</v>
      </c>
      <c r="D217" s="1070"/>
      <c r="E217" s="1070"/>
      <c r="F217" s="1070"/>
      <c r="G217" s="1070"/>
    </row>
    <row r="218" spans="1:7" s="1530" customFormat="1">
      <c r="A218" s="1069"/>
      <c r="B218" s="1067"/>
      <c r="C218" s="1549"/>
      <c r="D218" s="1549"/>
      <c r="E218" s="1549"/>
      <c r="F218" s="1549"/>
      <c r="G218" s="1549"/>
    </row>
    <row r="219" spans="1:7" s="1530" customFormat="1" ht="38.25">
      <c r="A219" s="1069"/>
      <c r="B219" s="1067"/>
      <c r="C219" s="1070" t="s">
        <v>2612</v>
      </c>
      <c r="D219" s="1070"/>
      <c r="E219" s="1070"/>
      <c r="F219" s="1070"/>
      <c r="G219" s="1070"/>
    </row>
    <row r="220" spans="1:7" s="1530" customFormat="1">
      <c r="A220" s="1069"/>
      <c r="B220" s="1067"/>
      <c r="C220" s="1549"/>
      <c r="D220" s="1549"/>
      <c r="E220" s="1549"/>
      <c r="F220" s="1549"/>
      <c r="G220" s="1549"/>
    </row>
    <row r="221" spans="1:7" s="1530" customFormat="1">
      <c r="A221" s="1069"/>
      <c r="B221" s="1079"/>
      <c r="C221" s="211" t="s">
        <v>2666</v>
      </c>
      <c r="D221" s="211"/>
      <c r="E221" s="1077"/>
      <c r="F221" s="1077"/>
      <c r="G221" s="1077"/>
    </row>
    <row r="222" spans="1:7" s="1530" customFormat="1">
      <c r="A222" s="1069"/>
      <c r="B222" s="1067"/>
      <c r="C222" s="1070"/>
      <c r="D222" s="1070"/>
      <c r="E222" s="1070"/>
      <c r="F222" s="1070"/>
      <c r="G222" s="1070"/>
    </row>
    <row r="223" spans="1:7" s="1530" customFormat="1">
      <c r="A223" s="1524" t="s">
        <v>2857</v>
      </c>
      <c r="B223" s="135" t="s">
        <v>1178</v>
      </c>
      <c r="C223" s="1549"/>
      <c r="D223" s="1549"/>
      <c r="E223" s="1549"/>
      <c r="F223" s="1549"/>
      <c r="G223" s="1549"/>
    </row>
    <row r="224" spans="1:7" s="1530" customFormat="1">
      <c r="A224" s="1069"/>
      <c r="B224" s="1067"/>
      <c r="C224" s="1549"/>
      <c r="D224" s="1549"/>
      <c r="E224" s="1549"/>
      <c r="F224" s="1549"/>
      <c r="G224" s="1549"/>
    </row>
    <row r="225" spans="1:7" s="1530" customFormat="1">
      <c r="A225" s="1069"/>
      <c r="B225" s="1067" t="s">
        <v>2875</v>
      </c>
      <c r="C225" s="1071" t="s">
        <v>2560</v>
      </c>
      <c r="D225" s="1549"/>
      <c r="E225" s="1549"/>
      <c r="F225" s="1549"/>
      <c r="G225" s="1549"/>
    </row>
    <row r="226" spans="1:7" s="1074" customFormat="1">
      <c r="A226" s="1069"/>
      <c r="B226" s="1067"/>
      <c r="C226" s="1072" t="s">
        <v>2613</v>
      </c>
      <c r="D226" s="1072"/>
      <c r="E226" s="1072"/>
      <c r="F226" s="1072"/>
      <c r="G226" s="1072"/>
    </row>
    <row r="227" spans="1:7" s="1530" customFormat="1">
      <c r="A227" s="1069"/>
      <c r="B227" s="1067"/>
      <c r="C227" s="1549"/>
      <c r="D227" s="1549"/>
      <c r="E227" s="1549"/>
      <c r="F227" s="1549"/>
      <c r="G227" s="1549"/>
    </row>
    <row r="228" spans="1:7" s="1530" customFormat="1">
      <c r="A228" s="1069"/>
      <c r="B228" s="1067" t="s">
        <v>2876</v>
      </c>
      <c r="C228" s="1071" t="s">
        <v>2592</v>
      </c>
      <c r="D228" s="1549"/>
      <c r="E228" s="1549"/>
      <c r="F228" s="1549"/>
      <c r="G228" s="1549"/>
    </row>
    <row r="229" spans="1:7" s="1530" customFormat="1" ht="76.5">
      <c r="A229" s="1069"/>
      <c r="B229" s="1067"/>
      <c r="C229" s="1070" t="s">
        <v>2614</v>
      </c>
      <c r="D229" s="1070"/>
      <c r="E229" s="1070"/>
      <c r="F229" s="1070"/>
      <c r="G229" s="1070"/>
    </row>
    <row r="230" spans="1:7" s="1530" customFormat="1">
      <c r="A230" s="1069"/>
      <c r="B230" s="1067"/>
      <c r="C230" s="1549"/>
      <c r="D230" s="1549"/>
      <c r="E230" s="1549"/>
      <c r="F230" s="1549"/>
      <c r="G230" s="1549"/>
    </row>
    <row r="231" spans="1:7" s="1530" customFormat="1">
      <c r="A231" s="1069"/>
      <c r="B231" s="1067" t="s">
        <v>2877</v>
      </c>
      <c r="C231" s="1071" t="s">
        <v>2878</v>
      </c>
      <c r="D231" s="1549"/>
      <c r="E231" s="1549"/>
      <c r="F231" s="1549"/>
      <c r="G231" s="1549"/>
    </row>
    <row r="232" spans="1:7" s="1530" customFormat="1" ht="127.5">
      <c r="A232" s="1069"/>
      <c r="B232" s="1067"/>
      <c r="C232" s="1070" t="s">
        <v>2615</v>
      </c>
      <c r="D232" s="1070"/>
      <c r="E232" s="1070"/>
      <c r="F232" s="1070"/>
      <c r="G232" s="1070"/>
    </row>
    <row r="233" spans="1:7" s="1530" customFormat="1">
      <c r="A233" s="1069"/>
      <c r="B233" s="1067"/>
      <c r="C233" s="1549"/>
      <c r="D233" s="1549"/>
      <c r="E233" s="1549"/>
      <c r="F233" s="1549"/>
      <c r="G233" s="1549"/>
    </row>
    <row r="234" spans="1:7" s="1530" customFormat="1">
      <c r="A234" s="1069"/>
      <c r="B234" s="1067" t="s">
        <v>2879</v>
      </c>
      <c r="C234" s="1071" t="s">
        <v>2880</v>
      </c>
      <c r="D234" s="1549"/>
      <c r="E234" s="1549"/>
      <c r="F234" s="1549"/>
      <c r="G234" s="1549"/>
    </row>
    <row r="235" spans="1:7" s="1530" customFormat="1" ht="127.5">
      <c r="A235" s="1069"/>
      <c r="B235" s="1067"/>
      <c r="C235" s="1070" t="s">
        <v>2616</v>
      </c>
      <c r="D235" s="1070"/>
      <c r="E235" s="1070"/>
      <c r="F235" s="1070"/>
      <c r="G235" s="1070"/>
    </row>
    <row r="236" spans="1:7" s="1530" customFormat="1" ht="76.5">
      <c r="A236" s="1069"/>
      <c r="B236" s="1067"/>
      <c r="C236" s="1557" t="s">
        <v>2617</v>
      </c>
      <c r="D236" s="1545"/>
      <c r="E236" s="1545"/>
      <c r="F236" s="1545"/>
      <c r="G236" s="1545"/>
    </row>
    <row r="237" spans="1:7" s="1530" customFormat="1">
      <c r="A237" s="1069"/>
      <c r="B237" s="1067"/>
      <c r="C237" s="1558"/>
      <c r="D237" s="1549"/>
      <c r="E237" s="1549"/>
      <c r="F237" s="1549"/>
      <c r="G237" s="1549"/>
    </row>
    <row r="238" spans="1:7" s="1074" customFormat="1">
      <c r="A238" s="1069"/>
      <c r="B238" s="1067" t="s">
        <v>2881</v>
      </c>
      <c r="C238" s="1071" t="s">
        <v>2618</v>
      </c>
      <c r="D238" s="1549"/>
      <c r="E238" s="1549"/>
      <c r="F238" s="1549"/>
      <c r="G238" s="1549"/>
    </row>
    <row r="239" spans="1:7" s="1530" customFormat="1" ht="51">
      <c r="A239" s="1069"/>
      <c r="B239" s="1067"/>
      <c r="C239" s="1070" t="s">
        <v>2619</v>
      </c>
      <c r="D239" s="1070"/>
      <c r="E239" s="1070"/>
      <c r="F239" s="1070"/>
      <c r="G239" s="1070"/>
    </row>
    <row r="240" spans="1:7" s="1530" customFormat="1">
      <c r="A240" s="1069"/>
      <c r="B240" s="1067"/>
      <c r="C240" s="1549"/>
      <c r="D240" s="1549"/>
      <c r="E240" s="1549"/>
      <c r="F240" s="1549"/>
      <c r="G240" s="1549"/>
    </row>
    <row r="241" spans="1:7" s="1530" customFormat="1">
      <c r="A241" s="1069"/>
      <c r="B241" s="1067" t="s">
        <v>2882</v>
      </c>
      <c r="C241" s="1071" t="s">
        <v>1332</v>
      </c>
      <c r="D241" s="1549"/>
      <c r="E241" s="1549"/>
      <c r="F241" s="1549"/>
      <c r="G241" s="1549"/>
    </row>
    <row r="242" spans="1:7" s="1530" customFormat="1" ht="89.25">
      <c r="A242" s="1069"/>
      <c r="B242" s="1067"/>
      <c r="C242" s="1070" t="s">
        <v>2620</v>
      </c>
      <c r="D242" s="1070"/>
      <c r="E242" s="1070"/>
      <c r="F242" s="1070"/>
      <c r="G242" s="1070"/>
    </row>
    <row r="243" spans="1:7" s="1530" customFormat="1">
      <c r="A243" s="1069"/>
      <c r="B243" s="1067"/>
      <c r="C243" s="1549"/>
      <c r="D243" s="1549"/>
      <c r="E243" s="1549"/>
      <c r="F243" s="1549"/>
      <c r="G243" s="1549"/>
    </row>
    <row r="244" spans="1:7" s="1530" customFormat="1" ht="38.25">
      <c r="A244" s="1069"/>
      <c r="B244" s="1067"/>
      <c r="C244" s="1070" t="s">
        <v>2621</v>
      </c>
      <c r="D244" s="1070"/>
      <c r="E244" s="1070"/>
      <c r="F244" s="1070"/>
      <c r="G244" s="1070"/>
    </row>
    <row r="245" spans="1:7" s="1530" customFormat="1">
      <c r="A245" s="1069"/>
      <c r="B245" s="1067"/>
      <c r="C245" s="1549"/>
      <c r="D245" s="1549"/>
      <c r="E245" s="1549"/>
      <c r="F245" s="1549"/>
      <c r="G245" s="1549"/>
    </row>
    <row r="246" spans="1:7" s="1530" customFormat="1">
      <c r="A246" s="1524" t="s">
        <v>2856</v>
      </c>
      <c r="B246" s="1067" t="s">
        <v>1091</v>
      </c>
      <c r="C246" s="1549"/>
      <c r="D246" s="1549"/>
      <c r="E246" s="1549"/>
      <c r="F246" s="1549"/>
      <c r="G246" s="1549"/>
    </row>
    <row r="247" spans="1:7" s="1530" customFormat="1" ht="98.25" customHeight="1">
      <c r="A247" s="1069"/>
      <c r="B247" s="1067"/>
      <c r="C247" s="1070" t="s">
        <v>2622</v>
      </c>
      <c r="D247" s="1070"/>
      <c r="E247" s="1070"/>
      <c r="F247" s="1070"/>
      <c r="G247" s="1070"/>
    </row>
    <row r="248" spans="1:7" s="1530" customFormat="1">
      <c r="A248" s="1069"/>
      <c r="B248" s="1067"/>
      <c r="C248" s="1549"/>
      <c r="D248" s="1549"/>
      <c r="E248" s="1549"/>
      <c r="F248" s="1549"/>
      <c r="G248" s="1549"/>
    </row>
    <row r="249" spans="1:7" s="1530" customFormat="1">
      <c r="A249" s="1524" t="s">
        <v>2855</v>
      </c>
      <c r="B249" s="1067" t="s">
        <v>1092</v>
      </c>
      <c r="C249" s="1549"/>
      <c r="D249" s="1549"/>
      <c r="E249" s="1549"/>
      <c r="F249" s="1549"/>
      <c r="G249" s="1549"/>
    </row>
    <row r="250" spans="1:7" s="1530" customFormat="1" ht="89.25">
      <c r="A250" s="1069"/>
      <c r="B250" s="1067"/>
      <c r="C250" s="1070" t="s">
        <v>2623</v>
      </c>
      <c r="D250" s="1070"/>
      <c r="E250" s="1070"/>
      <c r="F250" s="1070"/>
      <c r="G250" s="1070"/>
    </row>
    <row r="251" spans="1:7" s="1530" customFormat="1">
      <c r="A251" s="1069"/>
      <c r="B251" s="1067"/>
      <c r="C251" s="1549"/>
      <c r="D251" s="1549"/>
      <c r="E251" s="1549"/>
      <c r="F251" s="1549"/>
      <c r="G251" s="1549"/>
    </row>
    <row r="252" spans="1:7" s="1530" customFormat="1">
      <c r="A252" s="1524" t="s">
        <v>2854</v>
      </c>
      <c r="B252" s="1067" t="s">
        <v>1093</v>
      </c>
      <c r="C252" s="1549"/>
      <c r="D252" s="1549"/>
      <c r="E252" s="1549"/>
      <c r="F252" s="1549"/>
      <c r="G252" s="1549"/>
    </row>
    <row r="253" spans="1:7" s="1530" customFormat="1" ht="63.75">
      <c r="A253" s="1080"/>
      <c r="B253" s="1067"/>
      <c r="C253" s="1070" t="s">
        <v>2624</v>
      </c>
      <c r="D253" s="1070"/>
      <c r="E253" s="1070"/>
      <c r="F253" s="1070"/>
      <c r="G253" s="1070"/>
    </row>
    <row r="254" spans="1:7" s="1530" customFormat="1">
      <c r="A254" s="1069"/>
      <c r="B254" s="1067"/>
      <c r="C254" s="1549"/>
      <c r="D254" s="1549"/>
      <c r="E254" s="1549"/>
      <c r="F254" s="1549"/>
      <c r="G254" s="1549"/>
    </row>
    <row r="255" spans="1:7" s="1530" customFormat="1">
      <c r="A255" s="1524" t="s">
        <v>2853</v>
      </c>
      <c r="B255" s="135" t="s">
        <v>553</v>
      </c>
      <c r="C255" s="1549"/>
      <c r="D255" s="1549"/>
      <c r="E255" s="1549"/>
      <c r="F255" s="1549"/>
      <c r="G255" s="1549"/>
    </row>
    <row r="256" spans="1:7" s="1530" customFormat="1" ht="102">
      <c r="A256" s="1069"/>
      <c r="B256" s="1067"/>
      <c r="C256" s="1070" t="s">
        <v>2625</v>
      </c>
      <c r="D256" s="1070"/>
      <c r="E256" s="1070"/>
      <c r="F256" s="1070"/>
      <c r="G256" s="1070"/>
    </row>
    <row r="257" spans="1:7" s="1530" customFormat="1">
      <c r="A257" s="1069"/>
      <c r="B257" s="1067"/>
      <c r="C257" s="1070"/>
      <c r="D257" s="1070"/>
      <c r="E257" s="1070"/>
      <c r="F257" s="1070"/>
      <c r="G257" s="1070"/>
    </row>
    <row r="258" spans="1:7" s="1530" customFormat="1" ht="51">
      <c r="A258" s="1069"/>
      <c r="B258" s="1067"/>
      <c r="C258" s="1070" t="s">
        <v>2626</v>
      </c>
      <c r="D258" s="1070"/>
      <c r="E258" s="1070"/>
      <c r="F258" s="1070"/>
      <c r="G258" s="1070"/>
    </row>
    <row r="259" spans="1:7" s="1530" customFormat="1">
      <c r="A259" s="1069"/>
      <c r="B259" s="1067"/>
      <c r="C259" s="1070"/>
      <c r="D259" s="1070"/>
      <c r="E259" s="1070"/>
      <c r="F259" s="1070"/>
      <c r="G259" s="1070"/>
    </row>
    <row r="260" spans="1:7" s="1530" customFormat="1" ht="63.75">
      <c r="A260" s="1069"/>
      <c r="B260" s="1067"/>
      <c r="C260" s="1070" t="s">
        <v>2627</v>
      </c>
      <c r="D260" s="1070"/>
      <c r="E260" s="1070"/>
      <c r="F260" s="1070"/>
      <c r="G260" s="1070"/>
    </row>
    <row r="261" spans="1:7" s="1530" customFormat="1">
      <c r="A261" s="1069"/>
      <c r="B261" s="1067"/>
      <c r="C261" s="1070"/>
      <c r="D261" s="1070"/>
      <c r="E261" s="1070"/>
      <c r="F261" s="1070"/>
      <c r="G261" s="1070"/>
    </row>
    <row r="262" spans="1:7" s="1530" customFormat="1" ht="114.75">
      <c r="A262" s="1069"/>
      <c r="B262" s="1067"/>
      <c r="C262" s="1081" t="s">
        <v>2628</v>
      </c>
      <c r="D262" s="1081"/>
      <c r="E262" s="1081"/>
      <c r="F262" s="1081"/>
      <c r="G262" s="1081"/>
    </row>
    <row r="263" spans="1:7" s="1530" customFormat="1" ht="38.25">
      <c r="A263" s="1069"/>
      <c r="B263" s="1067"/>
      <c r="C263" s="1072" t="s">
        <v>2629</v>
      </c>
      <c r="D263" s="1072"/>
      <c r="E263" s="1072"/>
      <c r="F263" s="1072"/>
      <c r="G263" s="1072"/>
    </row>
    <row r="264" spans="1:7" s="1530" customFormat="1">
      <c r="A264" s="1069"/>
      <c r="B264" s="1067"/>
      <c r="C264" s="1070"/>
      <c r="D264" s="1070"/>
      <c r="E264" s="1070"/>
      <c r="F264" s="1070"/>
      <c r="G264" s="1070"/>
    </row>
    <row r="265" spans="1:7" s="1530" customFormat="1">
      <c r="A265" s="1524" t="s">
        <v>2852</v>
      </c>
      <c r="B265" s="1067" t="s">
        <v>2630</v>
      </c>
      <c r="C265" s="1070"/>
      <c r="D265" s="1070"/>
      <c r="E265" s="1070"/>
      <c r="F265" s="1070"/>
      <c r="G265" s="1070"/>
    </row>
    <row r="266" spans="1:7" s="1530" customFormat="1">
      <c r="A266" s="1069"/>
      <c r="B266" s="1067"/>
      <c r="C266" s="1070"/>
      <c r="D266" s="1070"/>
      <c r="E266" s="1070"/>
      <c r="F266" s="1070"/>
      <c r="G266" s="1070"/>
    </row>
    <row r="267" spans="1:7" s="1530" customFormat="1">
      <c r="A267" s="1069"/>
      <c r="B267" s="1082"/>
      <c r="C267" s="1078" t="s">
        <v>2631</v>
      </c>
      <c r="D267" s="1070"/>
      <c r="E267" s="1070"/>
      <c r="F267" s="1070"/>
      <c r="G267" s="1070"/>
    </row>
    <row r="268" spans="1:7" s="1530" customFormat="1" ht="114.75">
      <c r="A268" s="1069"/>
      <c r="B268" s="1067"/>
      <c r="C268" s="1070" t="s">
        <v>2632</v>
      </c>
      <c r="D268" s="1070"/>
      <c r="E268" s="1070"/>
      <c r="F268" s="1070"/>
      <c r="G268" s="1070"/>
    </row>
    <row r="269" spans="1:7" s="1530" customFormat="1">
      <c r="A269" s="1069"/>
      <c r="B269" s="1067"/>
      <c r="C269" s="1070"/>
      <c r="D269" s="1070"/>
      <c r="E269" s="1070"/>
      <c r="F269" s="1070"/>
      <c r="G269" s="1070"/>
    </row>
    <row r="270" spans="1:7" s="1530" customFormat="1" ht="89.25">
      <c r="A270" s="1069"/>
      <c r="B270" s="1067"/>
      <c r="C270" s="1070" t="s">
        <v>2633</v>
      </c>
      <c r="D270" s="1070"/>
      <c r="E270" s="1070"/>
      <c r="F270" s="1070"/>
      <c r="G270" s="1070"/>
    </row>
    <row r="271" spans="1:7" s="1530" customFormat="1">
      <c r="A271" s="1069"/>
      <c r="B271" s="1067"/>
      <c r="C271" s="1070"/>
      <c r="D271" s="1070"/>
      <c r="E271" s="1070"/>
      <c r="F271" s="1070"/>
      <c r="G271" s="1070"/>
    </row>
    <row r="272" spans="1:7" s="1530" customFormat="1" ht="38.25">
      <c r="A272" s="1069"/>
      <c r="B272" s="1067"/>
      <c r="C272" s="1070" t="s">
        <v>2634</v>
      </c>
      <c r="D272" s="1070"/>
      <c r="E272" s="1070"/>
      <c r="F272" s="1070"/>
      <c r="G272" s="1070"/>
    </row>
    <row r="273" spans="1:7" s="1530" customFormat="1">
      <c r="A273" s="1069"/>
      <c r="B273" s="1067"/>
      <c r="C273" s="1070"/>
      <c r="D273" s="1070"/>
      <c r="E273" s="1070"/>
      <c r="F273" s="1070"/>
      <c r="G273" s="1070"/>
    </row>
    <row r="274" spans="1:7" s="1530" customFormat="1">
      <c r="A274" s="1524" t="s">
        <v>2851</v>
      </c>
      <c r="B274" s="1067" t="s">
        <v>707</v>
      </c>
      <c r="C274" s="1549"/>
      <c r="D274" s="1549"/>
      <c r="E274" s="1549"/>
      <c r="F274" s="1549"/>
      <c r="G274" s="1549"/>
    </row>
    <row r="275" spans="1:7" s="1530" customFormat="1">
      <c r="A275" s="1069"/>
      <c r="B275" s="1067"/>
      <c r="C275" s="1549"/>
      <c r="D275" s="1549"/>
      <c r="E275" s="1549"/>
      <c r="F275" s="1549"/>
      <c r="G275" s="1549"/>
    </row>
    <row r="276" spans="1:7" s="1530" customFormat="1">
      <c r="A276" s="1069"/>
      <c r="B276" s="1067" t="s">
        <v>2883</v>
      </c>
      <c r="C276" s="1071" t="s">
        <v>2635</v>
      </c>
      <c r="D276" s="1071"/>
      <c r="E276" s="1071"/>
      <c r="F276" s="1071"/>
      <c r="G276" s="1071"/>
    </row>
    <row r="277" spans="1:7" s="1530" customFormat="1" ht="38.25">
      <c r="A277" s="1069"/>
      <c r="B277" s="1067"/>
      <c r="C277" s="1070" t="s">
        <v>2636</v>
      </c>
      <c r="D277" s="1070"/>
      <c r="E277" s="1070"/>
      <c r="F277" s="1070"/>
      <c r="G277" s="1070"/>
    </row>
    <row r="278" spans="1:7" s="1530" customFormat="1">
      <c r="A278" s="1069"/>
      <c r="B278" s="1067"/>
      <c r="C278" s="1549"/>
      <c r="D278" s="1549"/>
      <c r="E278" s="1549"/>
      <c r="F278" s="1549"/>
      <c r="G278" s="1549"/>
    </row>
    <row r="279" spans="1:7" s="1530" customFormat="1" ht="102">
      <c r="A279" s="1069"/>
      <c r="B279" s="1067"/>
      <c r="C279" s="1070" t="s">
        <v>2727</v>
      </c>
      <c r="D279" s="1070"/>
      <c r="E279" s="1070"/>
      <c r="F279" s="1070"/>
      <c r="G279" s="1070"/>
    </row>
    <row r="280" spans="1:7" s="1530" customFormat="1">
      <c r="A280" s="1069"/>
      <c r="B280" s="1067"/>
      <c r="C280" s="1549"/>
      <c r="D280" s="1549"/>
      <c r="E280" s="1549"/>
      <c r="F280" s="1549"/>
      <c r="G280" s="1549"/>
    </row>
    <row r="281" spans="1:7" s="1530" customFormat="1">
      <c r="A281" s="1069"/>
      <c r="B281" s="1067"/>
      <c r="C281" s="1072" t="s">
        <v>2637</v>
      </c>
      <c r="D281" s="1072"/>
      <c r="E281" s="1072"/>
      <c r="F281" s="1072"/>
      <c r="G281" s="1072"/>
    </row>
    <row r="282" spans="1:7" s="1530" customFormat="1">
      <c r="A282" s="1069"/>
      <c r="B282" s="1067"/>
      <c r="C282" s="1549"/>
      <c r="D282" s="1549"/>
      <c r="E282" s="1549"/>
      <c r="F282" s="1549"/>
      <c r="G282" s="1549"/>
    </row>
    <row r="283" spans="1:7" s="1530" customFormat="1" ht="51">
      <c r="A283" s="1069"/>
      <c r="B283" s="1067"/>
      <c r="C283" s="211" t="s">
        <v>2728</v>
      </c>
      <c r="D283" s="1070"/>
      <c r="E283" s="1070"/>
      <c r="F283" s="1070"/>
      <c r="G283" s="1070"/>
    </row>
    <row r="284" spans="1:7" s="1530" customFormat="1">
      <c r="A284" s="1069"/>
      <c r="B284" s="1067"/>
      <c r="C284" s="1559"/>
      <c r="D284" s="1549"/>
      <c r="E284" s="1549"/>
      <c r="F284" s="1549"/>
      <c r="G284" s="1549"/>
    </row>
    <row r="285" spans="1:7" s="1530" customFormat="1" ht="38.25">
      <c r="A285" s="1069"/>
      <c r="B285" s="1067"/>
      <c r="C285" s="211" t="s">
        <v>2733</v>
      </c>
      <c r="D285" s="1070"/>
      <c r="E285" s="1070"/>
      <c r="F285" s="1070"/>
      <c r="G285" s="1070"/>
    </row>
    <row r="286" spans="1:7" s="1530" customFormat="1">
      <c r="A286" s="1069"/>
      <c r="B286" s="1067"/>
      <c r="C286" s="1549"/>
      <c r="D286" s="1549"/>
      <c r="E286" s="1549"/>
      <c r="F286" s="1549"/>
      <c r="G286" s="1549"/>
    </row>
    <row r="287" spans="1:7" s="1530" customFormat="1" ht="16.5" hidden="1" customHeight="1">
      <c r="A287" s="1069"/>
      <c r="B287" s="1067"/>
      <c r="C287" s="1024" t="s">
        <v>2638</v>
      </c>
      <c r="D287" s="1518"/>
      <c r="E287" s="1024"/>
      <c r="F287" s="1024"/>
      <c r="G287" s="1024"/>
    </row>
    <row r="288" spans="1:7" s="1542" customFormat="1" ht="30" customHeight="1">
      <c r="A288" s="1517"/>
      <c r="B288" s="135"/>
      <c r="C288" s="1535" t="s">
        <v>2729</v>
      </c>
      <c r="D288" s="1518"/>
      <c r="E288" s="1518"/>
      <c r="F288" s="1518"/>
      <c r="G288" s="1518"/>
    </row>
    <row r="289" spans="1:7" s="1542" customFormat="1" ht="16.5" customHeight="1">
      <c r="A289" s="1517"/>
      <c r="B289" s="135"/>
      <c r="C289" s="1535"/>
      <c r="D289" s="1518"/>
      <c r="E289" s="1518"/>
      <c r="F289" s="1518"/>
      <c r="G289" s="1518"/>
    </row>
    <row r="290" spans="1:7" s="1542" customFormat="1" ht="16.5" customHeight="1">
      <c r="A290" s="1517"/>
      <c r="B290" s="135"/>
      <c r="C290" s="1535" t="s">
        <v>2730</v>
      </c>
      <c r="D290" s="1518"/>
      <c r="E290" s="1518"/>
      <c r="F290" s="1518"/>
      <c r="G290" s="1518"/>
    </row>
    <row r="291" spans="1:7" s="1542" customFormat="1" ht="27" customHeight="1">
      <c r="A291" s="1517"/>
      <c r="B291" s="135"/>
      <c r="C291" s="1535" t="s">
        <v>2731</v>
      </c>
      <c r="D291" s="1518"/>
      <c r="E291" s="1518"/>
      <c r="F291" s="1518"/>
      <c r="G291" s="1518"/>
    </row>
    <row r="292" spans="1:7" s="1542" customFormat="1" ht="16.5" customHeight="1">
      <c r="A292" s="1517"/>
      <c r="B292" s="135"/>
      <c r="C292" s="1535" t="s">
        <v>2732</v>
      </c>
      <c r="D292" s="1518"/>
      <c r="E292" s="1518"/>
      <c r="F292" s="1518"/>
      <c r="G292" s="1518"/>
    </row>
    <row r="293" spans="1:7" s="1530" customFormat="1">
      <c r="A293" s="1069"/>
      <c r="B293" s="1067"/>
      <c r="C293" s="1549"/>
      <c r="D293" s="1549"/>
      <c r="E293" s="1549"/>
      <c r="F293" s="1549"/>
      <c r="G293" s="1549"/>
    </row>
    <row r="294" spans="1:7" s="1530" customFormat="1" ht="25.5">
      <c r="A294" s="1069"/>
      <c r="B294" s="1067"/>
      <c r="C294" s="1070" t="s">
        <v>2639</v>
      </c>
      <c r="D294" s="1070"/>
      <c r="E294" s="1070"/>
      <c r="F294" s="1070"/>
      <c r="G294" s="1070"/>
    </row>
    <row r="295" spans="1:7" s="1530" customFormat="1">
      <c r="A295" s="1069"/>
      <c r="B295" s="1067"/>
      <c r="C295" s="1549"/>
      <c r="D295" s="1549"/>
      <c r="E295" s="1549"/>
      <c r="F295" s="1549"/>
      <c r="G295" s="1549"/>
    </row>
    <row r="296" spans="1:7" s="1530" customFormat="1" ht="25.5">
      <c r="A296" s="1069"/>
      <c r="B296" s="1067"/>
      <c r="C296" s="1070" t="s">
        <v>2640</v>
      </c>
      <c r="D296" s="1070"/>
      <c r="E296" s="1070"/>
      <c r="F296" s="1070"/>
      <c r="G296" s="1070"/>
    </row>
    <row r="297" spans="1:7" s="1530" customFormat="1">
      <c r="A297" s="1069"/>
      <c r="B297" s="1067"/>
      <c r="C297" s="1549"/>
      <c r="D297" s="1549"/>
      <c r="E297" s="1549"/>
      <c r="F297" s="1549"/>
      <c r="G297" s="1549"/>
    </row>
    <row r="298" spans="1:7" s="1530" customFormat="1" ht="38.25">
      <c r="A298" s="1069"/>
      <c r="B298" s="1067"/>
      <c r="C298" s="1070" t="s">
        <v>2641</v>
      </c>
      <c r="D298" s="1070"/>
      <c r="E298" s="1070"/>
      <c r="F298" s="1070"/>
      <c r="G298" s="1070"/>
    </row>
    <row r="299" spans="1:7" s="1530" customFormat="1">
      <c r="A299" s="1069"/>
      <c r="B299" s="1067"/>
      <c r="C299" s="1549"/>
      <c r="D299" s="1549"/>
      <c r="E299" s="1549"/>
      <c r="F299" s="1549"/>
      <c r="G299" s="1549"/>
    </row>
    <row r="300" spans="1:7" s="1530" customFormat="1" ht="25.5">
      <c r="A300" s="1069"/>
      <c r="B300" s="1067"/>
      <c r="C300" s="1070" t="s">
        <v>2642</v>
      </c>
      <c r="D300" s="1070"/>
      <c r="E300" s="1070"/>
      <c r="F300" s="1070"/>
      <c r="G300" s="1070"/>
    </row>
    <row r="301" spans="1:7" s="1530" customFormat="1">
      <c r="A301" s="1069"/>
      <c r="B301" s="1067"/>
      <c r="C301" s="1549"/>
      <c r="D301" s="1549"/>
      <c r="E301" s="1549"/>
      <c r="F301" s="1549"/>
      <c r="G301" s="1549"/>
    </row>
    <row r="302" spans="1:7" s="1530" customFormat="1" ht="38.25">
      <c r="A302" s="1069"/>
      <c r="B302" s="1067"/>
      <c r="C302" s="211" t="s">
        <v>2643</v>
      </c>
      <c r="D302" s="1070"/>
      <c r="E302" s="1070"/>
      <c r="F302" s="1070"/>
      <c r="G302" s="1070"/>
    </row>
    <row r="303" spans="1:7" s="1530" customFormat="1">
      <c r="A303" s="1069"/>
      <c r="B303" s="1067"/>
      <c r="C303" s="1549"/>
      <c r="D303" s="1549"/>
      <c r="E303" s="1549"/>
      <c r="F303" s="1549"/>
      <c r="G303" s="1549"/>
    </row>
    <row r="304" spans="1:7" s="1530" customFormat="1">
      <c r="A304" s="1069"/>
      <c r="B304" s="1067" t="s">
        <v>2884</v>
      </c>
      <c r="C304" s="1071" t="s">
        <v>2644</v>
      </c>
      <c r="D304" s="1071"/>
      <c r="E304" s="1071"/>
      <c r="F304" s="1071"/>
      <c r="G304" s="1071"/>
    </row>
    <row r="305" spans="1:7" s="1530" customFormat="1" ht="63.75">
      <c r="A305" s="1069"/>
      <c r="B305" s="1067"/>
      <c r="C305" s="211" t="s">
        <v>2645</v>
      </c>
      <c r="D305" s="1070"/>
      <c r="E305" s="1070"/>
      <c r="F305" s="1070"/>
      <c r="G305" s="1070"/>
    </row>
    <row r="306" spans="1:7" s="1530" customFormat="1">
      <c r="A306" s="1069"/>
      <c r="B306" s="1067"/>
      <c r="C306" s="1549"/>
      <c r="D306" s="1549"/>
      <c r="E306" s="1549"/>
      <c r="F306" s="1549"/>
      <c r="G306" s="1549"/>
    </row>
    <row r="307" spans="1:7" s="1530" customFormat="1" ht="38.25">
      <c r="A307" s="1069"/>
      <c r="B307" s="1067"/>
      <c r="C307" s="1070" t="s">
        <v>2646</v>
      </c>
      <c r="D307" s="1070"/>
      <c r="E307" s="1070"/>
      <c r="F307" s="1070"/>
      <c r="G307" s="1070"/>
    </row>
    <row r="308" spans="1:7" s="1530" customFormat="1">
      <c r="A308" s="1069"/>
      <c r="B308" s="1067"/>
      <c r="C308" s="1549"/>
      <c r="D308" s="1549"/>
      <c r="E308" s="1549"/>
      <c r="F308" s="1549"/>
      <c r="G308" s="1549"/>
    </row>
    <row r="309" spans="1:7" s="1530" customFormat="1" ht="38.25">
      <c r="A309" s="1069"/>
      <c r="B309" s="1067"/>
      <c r="C309" s="1070" t="s">
        <v>2647</v>
      </c>
      <c r="D309" s="1070"/>
      <c r="E309" s="1070"/>
      <c r="F309" s="1070"/>
      <c r="G309" s="1070"/>
    </row>
    <row r="310" spans="1:7" s="1530" customFormat="1">
      <c r="A310" s="1069"/>
      <c r="B310" s="1067"/>
      <c r="C310" s="1549"/>
      <c r="D310" s="1549"/>
      <c r="E310" s="1549"/>
      <c r="F310" s="1549"/>
      <c r="G310" s="1549"/>
    </row>
    <row r="311" spans="1:7" s="1530" customFormat="1" ht="76.5">
      <c r="A311" s="1069"/>
      <c r="B311" s="1067"/>
      <c r="C311" s="211" t="s">
        <v>2648</v>
      </c>
      <c r="D311" s="211"/>
      <c r="E311" s="211"/>
      <c r="F311" s="211"/>
      <c r="G311" s="211"/>
    </row>
    <row r="312" spans="1:7" s="1530" customFormat="1">
      <c r="A312" s="1069"/>
      <c r="B312" s="1067"/>
      <c r="C312" s="1549"/>
      <c r="D312" s="1549"/>
      <c r="E312" s="1549"/>
      <c r="F312" s="1549"/>
      <c r="G312" s="1549"/>
    </row>
    <row r="313" spans="1:7" s="1530" customFormat="1" ht="25.5">
      <c r="A313" s="1069"/>
      <c r="B313" s="1067"/>
      <c r="C313" s="211" t="s">
        <v>2649</v>
      </c>
      <c r="D313" s="211"/>
      <c r="E313" s="211"/>
      <c r="F313" s="211"/>
      <c r="G313" s="211"/>
    </row>
    <row r="314" spans="1:7" s="1530" customFormat="1">
      <c r="A314" s="1069"/>
      <c r="B314" s="1067"/>
      <c r="C314" s="1549"/>
      <c r="D314" s="1549"/>
      <c r="E314" s="1549"/>
      <c r="F314" s="1549"/>
      <c r="G314" s="1549"/>
    </row>
    <row r="315" spans="1:7" s="1530" customFormat="1" ht="51">
      <c r="A315" s="1069"/>
      <c r="B315" s="1067"/>
      <c r="C315" s="211" t="s">
        <v>1311</v>
      </c>
      <c r="D315" s="211"/>
      <c r="E315" s="211"/>
      <c r="F315" s="211"/>
      <c r="G315" s="211"/>
    </row>
    <row r="316" spans="1:7" s="1530" customFormat="1">
      <c r="A316" s="1069"/>
      <c r="B316" s="1067"/>
      <c r="C316" s="1549"/>
      <c r="D316" s="1549"/>
      <c r="E316" s="1549"/>
      <c r="F316" s="1549"/>
      <c r="G316" s="1549"/>
    </row>
    <row r="317" spans="1:7" s="1530" customFormat="1">
      <c r="A317" s="1069"/>
      <c r="B317" s="1067" t="s">
        <v>2885</v>
      </c>
      <c r="C317" s="1071" t="s">
        <v>2650</v>
      </c>
      <c r="D317" s="1549"/>
      <c r="E317" s="1549"/>
      <c r="F317" s="1549"/>
      <c r="G317" s="1549"/>
    </row>
    <row r="318" spans="1:7" s="1530" customFormat="1" ht="63.75" hidden="1">
      <c r="A318" s="1069"/>
      <c r="B318" s="1067"/>
      <c r="C318" s="1083" t="s">
        <v>2651</v>
      </c>
      <c r="D318" s="1560"/>
      <c r="E318" s="1560"/>
      <c r="F318" s="1560"/>
      <c r="G318" s="1560"/>
    </row>
    <row r="319" spans="1:7" s="1530" customFormat="1">
      <c r="A319" s="1069"/>
      <c r="B319" s="1067"/>
      <c r="C319" s="1083"/>
      <c r="D319" s="1560"/>
      <c r="E319" s="1560"/>
      <c r="F319" s="1560"/>
      <c r="G319" s="1560"/>
    </row>
    <row r="320" spans="1:7" s="1530" customFormat="1" ht="38.25">
      <c r="A320" s="1069"/>
      <c r="B320" s="1067"/>
      <c r="C320" s="1535" t="s">
        <v>2734</v>
      </c>
      <c r="D320" s="1560"/>
      <c r="E320" s="1560"/>
      <c r="F320" s="1560"/>
      <c r="G320" s="1560"/>
    </row>
    <row r="321" spans="1:7" s="1530" customFormat="1">
      <c r="A321" s="1069"/>
      <c r="B321" s="1067"/>
      <c r="C321" s="1535"/>
      <c r="D321" s="1560"/>
      <c r="E321" s="1560"/>
      <c r="F321" s="1560"/>
      <c r="G321" s="1560"/>
    </row>
    <row r="322" spans="1:7" s="1530" customFormat="1" ht="25.5">
      <c r="A322" s="1069"/>
      <c r="B322" s="1067"/>
      <c r="C322" s="1535" t="s">
        <v>2735</v>
      </c>
      <c r="D322" s="1560"/>
      <c r="E322" s="1560"/>
      <c r="F322" s="1560"/>
      <c r="G322" s="1560"/>
    </row>
    <row r="323" spans="1:7" s="1530" customFormat="1">
      <c r="A323" s="1069"/>
      <c r="B323" s="1067"/>
      <c r="C323" s="1535"/>
      <c r="D323" s="1560"/>
      <c r="E323" s="1560"/>
      <c r="F323" s="1560"/>
      <c r="G323" s="1560"/>
    </row>
    <row r="324" spans="1:7" s="1530" customFormat="1">
      <c r="A324" s="1069"/>
      <c r="B324" s="1067"/>
      <c r="C324" s="1535" t="s">
        <v>2736</v>
      </c>
      <c r="D324" s="1560"/>
      <c r="E324" s="1560"/>
      <c r="F324" s="1560"/>
      <c r="G324" s="1560"/>
    </row>
    <row r="325" spans="1:7" s="1530" customFormat="1">
      <c r="A325" s="1069"/>
      <c r="B325" s="1067"/>
      <c r="C325" s="1535"/>
      <c r="D325" s="1560"/>
      <c r="E325" s="1560"/>
      <c r="F325" s="1560"/>
      <c r="G325" s="1560"/>
    </row>
    <row r="326" spans="1:7" s="1530" customFormat="1" ht="25.5">
      <c r="A326" s="1069"/>
      <c r="B326" s="1067"/>
      <c r="C326" s="1535" t="s">
        <v>2737</v>
      </c>
      <c r="D326" s="1560"/>
      <c r="E326" s="1560"/>
      <c r="F326" s="1560"/>
      <c r="G326" s="1560"/>
    </row>
    <row r="327" spans="1:7" s="1530" customFormat="1">
      <c r="A327" s="1069"/>
      <c r="B327" s="1067"/>
      <c r="C327" s="1535" t="s">
        <v>2738</v>
      </c>
      <c r="D327" s="1560"/>
      <c r="E327" s="1560"/>
      <c r="F327" s="1560"/>
      <c r="G327" s="1560"/>
    </row>
    <row r="328" spans="1:7" s="1530" customFormat="1" ht="25.5">
      <c r="A328" s="1069"/>
      <c r="B328" s="1067"/>
      <c r="C328" s="1535" t="s">
        <v>2739</v>
      </c>
      <c r="D328" s="1560"/>
      <c r="E328" s="1560"/>
      <c r="F328" s="1560"/>
      <c r="G328" s="1560"/>
    </row>
    <row r="329" spans="1:7" s="1530" customFormat="1">
      <c r="A329" s="1069"/>
      <c r="B329" s="1067"/>
      <c r="C329" s="1535" t="s">
        <v>2740</v>
      </c>
      <c r="D329" s="1560"/>
      <c r="E329" s="1560"/>
      <c r="F329" s="1560"/>
      <c r="G329" s="1560"/>
    </row>
    <row r="330" spans="1:7" s="1530" customFormat="1">
      <c r="A330" s="1069"/>
      <c r="B330" s="1067"/>
      <c r="C330" s="1535"/>
      <c r="D330" s="1560"/>
      <c r="E330" s="1560"/>
      <c r="F330" s="1560"/>
      <c r="G330" s="1560"/>
    </row>
    <row r="331" spans="1:7" s="1530" customFormat="1">
      <c r="A331" s="1069"/>
      <c r="B331" s="1067"/>
      <c r="C331" s="1535" t="s">
        <v>2741</v>
      </c>
      <c r="D331" s="1560"/>
      <c r="E331" s="1560"/>
      <c r="F331" s="1560"/>
      <c r="G331" s="1560"/>
    </row>
    <row r="332" spans="1:7" s="1530" customFormat="1">
      <c r="A332" s="1069"/>
      <c r="B332" s="1067"/>
      <c r="C332" s="1535"/>
      <c r="D332" s="1560"/>
      <c r="E332" s="1560"/>
      <c r="F332" s="1560"/>
      <c r="G332" s="1560"/>
    </row>
    <row r="333" spans="1:7" s="1530" customFormat="1" ht="25.5">
      <c r="A333" s="1069"/>
      <c r="B333" s="1067"/>
      <c r="C333" s="1535" t="s">
        <v>2742</v>
      </c>
      <c r="D333" s="1560"/>
      <c r="E333" s="1560"/>
      <c r="F333" s="1560"/>
      <c r="G333" s="1560"/>
    </row>
    <row r="334" spans="1:7" s="1530" customFormat="1">
      <c r="A334" s="1069"/>
      <c r="B334" s="1067"/>
      <c r="C334" s="1535" t="s">
        <v>2743</v>
      </c>
      <c r="D334" s="1560"/>
      <c r="E334" s="1560"/>
      <c r="F334" s="1560"/>
      <c r="G334" s="1560"/>
    </row>
    <row r="335" spans="1:7" s="1530" customFormat="1" ht="20.25" customHeight="1">
      <c r="A335" s="1069"/>
      <c r="B335" s="1067"/>
      <c r="C335" s="1535" t="s">
        <v>2739</v>
      </c>
      <c r="D335" s="1560"/>
      <c r="E335" s="1560"/>
      <c r="F335" s="1560"/>
      <c r="G335" s="1560"/>
    </row>
    <row r="336" spans="1:7" s="1530" customFormat="1">
      <c r="A336" s="1069"/>
      <c r="B336" s="1067"/>
      <c r="C336" s="1535"/>
      <c r="D336" s="1560"/>
      <c r="E336" s="1560"/>
      <c r="F336" s="1560"/>
      <c r="G336" s="1560"/>
    </row>
    <row r="337" spans="1:7" s="1530" customFormat="1" ht="25.5">
      <c r="A337" s="1069"/>
      <c r="B337" s="1067"/>
      <c r="C337" s="1535" t="s">
        <v>2744</v>
      </c>
      <c r="D337" s="1560"/>
      <c r="E337" s="1560"/>
      <c r="F337" s="1560"/>
      <c r="G337" s="1560"/>
    </row>
    <row r="338" spans="1:7" s="1530" customFormat="1">
      <c r="A338" s="1069"/>
      <c r="B338" s="1067"/>
      <c r="C338" s="1535"/>
      <c r="D338" s="1560"/>
      <c r="E338" s="1560"/>
      <c r="F338" s="1560"/>
      <c r="G338" s="1560"/>
    </row>
    <row r="339" spans="1:7" s="1530" customFormat="1" ht="38.25">
      <c r="A339" s="1069"/>
      <c r="B339" s="1067"/>
      <c r="C339" s="1535" t="s">
        <v>2745</v>
      </c>
      <c r="D339" s="1560"/>
      <c r="E339" s="1560"/>
      <c r="F339" s="1560"/>
      <c r="G339" s="1560"/>
    </row>
    <row r="340" spans="1:7" s="1530" customFormat="1">
      <c r="A340" s="1069"/>
      <c r="B340" s="1067"/>
      <c r="C340" s="1535"/>
      <c r="D340" s="1560"/>
      <c r="E340" s="1560"/>
      <c r="F340" s="1560"/>
      <c r="G340" s="1560"/>
    </row>
    <row r="341" spans="1:7" s="1530" customFormat="1" ht="25.5">
      <c r="A341" s="1069"/>
      <c r="B341" s="1067"/>
      <c r="C341" s="1535" t="s">
        <v>2746</v>
      </c>
      <c r="D341" s="1560"/>
      <c r="E341" s="1560"/>
      <c r="F341" s="1560"/>
      <c r="G341" s="1560"/>
    </row>
    <row r="342" spans="1:7" s="1530" customFormat="1">
      <c r="A342" s="1069"/>
      <c r="B342" s="1067"/>
      <c r="C342" s="1083"/>
      <c r="D342" s="1549"/>
      <c r="E342" s="1549"/>
      <c r="F342" s="1549"/>
      <c r="G342" s="1549"/>
    </row>
    <row r="343" spans="1:7" s="1530" customFormat="1">
      <c r="A343" s="1524" t="s">
        <v>2849</v>
      </c>
      <c r="B343" s="1067" t="s">
        <v>1097</v>
      </c>
      <c r="C343" s="1549"/>
      <c r="D343" s="1549"/>
      <c r="E343" s="1549"/>
      <c r="F343" s="1549"/>
      <c r="G343" s="1549"/>
    </row>
    <row r="344" spans="1:7" s="1530" customFormat="1" ht="89.25">
      <c r="A344" s="1069"/>
      <c r="B344" s="1067"/>
      <c r="C344" s="1070" t="s">
        <v>2652</v>
      </c>
      <c r="D344" s="1070"/>
      <c r="E344" s="1070"/>
      <c r="F344" s="1070"/>
      <c r="G344" s="1070"/>
    </row>
    <row r="345" spans="1:7" s="1530" customFormat="1">
      <c r="A345" s="1069"/>
      <c r="B345" s="1067"/>
      <c r="C345" s="1549"/>
      <c r="D345" s="1549"/>
      <c r="E345" s="1549"/>
      <c r="F345" s="1549"/>
      <c r="G345" s="1549"/>
    </row>
    <row r="346" spans="1:7" s="1530" customFormat="1">
      <c r="A346" s="1524" t="s">
        <v>2850</v>
      </c>
      <c r="B346" s="1067" t="s">
        <v>1095</v>
      </c>
      <c r="C346" s="1549"/>
      <c r="D346" s="1549"/>
      <c r="E346" s="1549"/>
      <c r="F346" s="1549"/>
      <c r="G346" s="1549"/>
    </row>
    <row r="347" spans="1:7" s="1530" customFormat="1" ht="114.75">
      <c r="A347" s="1069"/>
      <c r="B347" s="1067"/>
      <c r="C347" s="1540" t="s">
        <v>2747</v>
      </c>
      <c r="D347" s="1070"/>
      <c r="E347" s="1070"/>
      <c r="F347" s="1070"/>
      <c r="G347" s="1070"/>
    </row>
    <row r="348" spans="1:7" s="1530" customFormat="1">
      <c r="A348" s="1069"/>
      <c r="B348" s="1067"/>
      <c r="C348" s="1549"/>
      <c r="D348" s="1549"/>
      <c r="E348" s="1549"/>
      <c r="F348" s="1549"/>
      <c r="G348" s="1549"/>
    </row>
    <row r="349" spans="1:7" s="1530" customFormat="1" ht="25.5">
      <c r="A349" s="1069"/>
      <c r="B349" s="1067"/>
      <c r="C349" s="1535" t="s">
        <v>1345</v>
      </c>
      <c r="D349" s="1549"/>
      <c r="E349" s="1549"/>
      <c r="F349" s="1549"/>
      <c r="G349" s="1549"/>
    </row>
    <row r="350" spans="1:7" s="1530" customFormat="1">
      <c r="A350" s="1069"/>
      <c r="B350" s="1067"/>
      <c r="C350" s="1535"/>
      <c r="D350" s="1549"/>
      <c r="E350" s="1549"/>
      <c r="F350" s="1549"/>
      <c r="G350" s="1549"/>
    </row>
    <row r="351" spans="1:7" s="1530" customFormat="1">
      <c r="A351" s="1069"/>
      <c r="B351" s="1067"/>
      <c r="C351" s="1535" t="s">
        <v>1757</v>
      </c>
      <c r="D351" s="1549"/>
      <c r="E351" s="1549"/>
      <c r="F351" s="1549"/>
      <c r="G351" s="1549"/>
    </row>
    <row r="352" spans="1:7" s="1530" customFormat="1">
      <c r="A352" s="1069"/>
      <c r="B352" s="1067"/>
      <c r="C352" s="1535" t="s">
        <v>1758</v>
      </c>
      <c r="D352" s="1549"/>
      <c r="E352" s="1549"/>
      <c r="F352" s="1549"/>
      <c r="G352" s="1549"/>
    </row>
    <row r="353" spans="1:7" s="1530" customFormat="1">
      <c r="A353" s="1069"/>
      <c r="B353" s="1067"/>
      <c r="C353" s="1535" t="s">
        <v>1759</v>
      </c>
      <c r="D353" s="1549"/>
      <c r="E353" s="1549"/>
      <c r="F353" s="1549"/>
      <c r="G353" s="1549"/>
    </row>
    <row r="354" spans="1:7" s="1530" customFormat="1">
      <c r="A354" s="1069"/>
      <c r="B354" s="1067"/>
      <c r="C354" s="1535" t="s">
        <v>1760</v>
      </c>
      <c r="D354" s="1549"/>
      <c r="E354" s="1549"/>
      <c r="F354" s="1549"/>
      <c r="G354" s="1549"/>
    </row>
    <row r="355" spans="1:7" s="1530" customFormat="1">
      <c r="A355" s="1069"/>
      <c r="B355" s="1067"/>
      <c r="C355" s="1535" t="s">
        <v>2011</v>
      </c>
      <c r="D355" s="1549"/>
      <c r="E355" s="1549"/>
      <c r="F355" s="1549"/>
      <c r="G355" s="1549"/>
    </row>
    <row r="356" spans="1:7" s="1530" customFormat="1">
      <c r="A356" s="1069"/>
      <c r="B356" s="1067"/>
      <c r="C356" s="1535"/>
      <c r="D356" s="1549"/>
      <c r="E356" s="1549"/>
      <c r="F356" s="1549"/>
      <c r="G356" s="1549"/>
    </row>
    <row r="357" spans="1:7" s="1530" customFormat="1" ht="25.5">
      <c r="A357" s="1069"/>
      <c r="B357" s="1067"/>
      <c r="C357" s="1535" t="s">
        <v>1346</v>
      </c>
      <c r="D357" s="1549"/>
      <c r="E357" s="1549"/>
      <c r="F357" s="1549"/>
      <c r="G357" s="1549"/>
    </row>
    <row r="358" spans="1:7" s="1530" customFormat="1">
      <c r="A358" s="1069"/>
      <c r="B358" s="1067"/>
      <c r="C358" s="1535"/>
      <c r="D358" s="1549"/>
      <c r="E358" s="1549"/>
      <c r="F358" s="1549"/>
      <c r="G358" s="1549"/>
    </row>
    <row r="359" spans="1:7" s="1530" customFormat="1">
      <c r="A359" s="1069"/>
      <c r="B359" s="1067"/>
      <c r="C359" s="1535" t="s">
        <v>1175</v>
      </c>
      <c r="D359" s="1549"/>
      <c r="E359" s="1549"/>
      <c r="F359" s="1549"/>
      <c r="G359" s="1549"/>
    </row>
    <row r="360" spans="1:7" s="1530" customFormat="1" ht="25.5">
      <c r="A360" s="1069"/>
      <c r="B360" s="1067"/>
      <c r="C360" s="1543" t="s">
        <v>1347</v>
      </c>
      <c r="D360" s="1549"/>
      <c r="E360" s="1549"/>
      <c r="F360" s="1549"/>
      <c r="G360" s="1549"/>
    </row>
    <row r="361" spans="1:7" s="1530" customFormat="1" ht="51">
      <c r="A361" s="1069"/>
      <c r="B361" s="1067"/>
      <c r="C361" s="1543" t="s">
        <v>992</v>
      </c>
      <c r="D361" s="1549"/>
      <c r="E361" s="1549"/>
      <c r="F361" s="1549"/>
      <c r="G361" s="1549"/>
    </row>
    <row r="362" spans="1:7" s="1530" customFormat="1">
      <c r="A362" s="1069"/>
      <c r="B362" s="1067"/>
      <c r="C362" s="1540"/>
      <c r="D362" s="1540"/>
      <c r="E362" s="1540"/>
      <c r="F362" s="1540"/>
      <c r="G362" s="1540"/>
    </row>
    <row r="363" spans="1:7" s="1530" customFormat="1">
      <c r="A363" s="1524" t="s">
        <v>2848</v>
      </c>
      <c r="B363" s="1067"/>
      <c r="C363" s="1071" t="s">
        <v>2653</v>
      </c>
      <c r="D363" s="1549"/>
      <c r="E363" s="1549"/>
      <c r="F363" s="1549"/>
      <c r="G363" s="1549"/>
    </row>
    <row r="364" spans="1:7" s="1530" customFormat="1" ht="38.25">
      <c r="A364" s="1069"/>
      <c r="B364" s="1067"/>
      <c r="C364" s="1540" t="s">
        <v>2654</v>
      </c>
      <c r="D364" s="1540"/>
      <c r="E364" s="1540"/>
      <c r="F364" s="1540"/>
      <c r="G364" s="1540"/>
    </row>
    <row r="365" spans="1:7" s="1530" customFormat="1">
      <c r="A365" s="1069"/>
      <c r="B365" s="1067"/>
      <c r="C365" s="1549"/>
      <c r="D365" s="1549"/>
      <c r="E365" s="1549"/>
      <c r="F365" s="1549"/>
      <c r="G365" s="1549"/>
    </row>
    <row r="366" spans="1:7" s="1530" customFormat="1">
      <c r="A366" s="1069"/>
      <c r="B366" s="1067"/>
      <c r="C366" s="1540" t="s">
        <v>2655</v>
      </c>
      <c r="D366" s="1540"/>
      <c r="E366" s="1540"/>
      <c r="F366" s="1540"/>
      <c r="G366" s="1540"/>
    </row>
    <row r="367" spans="1:7" s="1530" customFormat="1" ht="51">
      <c r="A367" s="1069"/>
      <c r="B367" s="1067"/>
      <c r="C367" s="1561" t="s">
        <v>2656</v>
      </c>
      <c r="D367" s="1545"/>
      <c r="E367" s="1545"/>
      <c r="F367" s="1545"/>
      <c r="G367" s="1545"/>
    </row>
    <row r="368" spans="1:7" s="1530" customFormat="1">
      <c r="A368" s="1069"/>
      <c r="B368" s="1067"/>
      <c r="C368" s="1549"/>
      <c r="D368" s="1549"/>
      <c r="E368" s="1549"/>
      <c r="F368" s="1549"/>
      <c r="G368" s="1549"/>
    </row>
    <row r="369" spans="1:7" s="1530" customFormat="1" ht="51">
      <c r="A369" s="1069"/>
      <c r="B369" s="1067"/>
      <c r="C369" s="1557" t="s">
        <v>2657</v>
      </c>
      <c r="D369" s="1545"/>
      <c r="E369" s="1545"/>
      <c r="F369" s="1545"/>
      <c r="G369" s="1545"/>
    </row>
    <row r="370" spans="1:7" s="1530" customFormat="1">
      <c r="A370" s="1069"/>
      <c r="B370" s="1067"/>
      <c r="C370" s="1558"/>
      <c r="D370" s="1549"/>
      <c r="E370" s="1549"/>
      <c r="F370" s="1549"/>
      <c r="G370" s="1549"/>
    </row>
    <row r="371" spans="1:7" s="1530" customFormat="1" ht="25.5">
      <c r="A371" s="1069"/>
      <c r="B371" s="1067"/>
      <c r="C371" s="1540" t="s">
        <v>2658</v>
      </c>
      <c r="D371" s="1540"/>
      <c r="E371" s="1540"/>
      <c r="F371" s="1540"/>
      <c r="G371" s="1540"/>
    </row>
    <row r="372" spans="1:7" s="1530" customFormat="1">
      <c r="A372" s="1069"/>
      <c r="B372" s="1067"/>
      <c r="C372" s="1549"/>
      <c r="D372" s="1549"/>
      <c r="E372" s="1549"/>
      <c r="F372" s="1549"/>
      <c r="G372" s="1549"/>
    </row>
    <row r="373" spans="1:7" s="1530" customFormat="1" ht="38.25">
      <c r="A373" s="1069"/>
      <c r="B373" s="1067"/>
      <c r="C373" s="1540" t="s">
        <v>2659</v>
      </c>
      <c r="D373" s="1540"/>
      <c r="E373" s="1540"/>
      <c r="F373" s="1540"/>
      <c r="G373" s="1540"/>
    </row>
    <row r="374" spans="1:7" s="1530" customFormat="1">
      <c r="A374" s="1069"/>
      <c r="B374" s="1067"/>
      <c r="C374" s="1549"/>
      <c r="D374" s="1549"/>
      <c r="E374" s="1549"/>
      <c r="F374" s="1549"/>
      <c r="G374" s="1549"/>
    </row>
    <row r="375" spans="1:7" s="1530" customFormat="1" ht="38.25">
      <c r="A375" s="1069"/>
      <c r="B375" s="1067"/>
      <c r="C375" s="1540" t="s">
        <v>2660</v>
      </c>
      <c r="D375" s="1540"/>
      <c r="E375" s="1540"/>
      <c r="F375" s="1540"/>
      <c r="G375" s="1540"/>
    </row>
    <row r="376" spans="1:7" s="1530" customFormat="1">
      <c r="A376" s="1069"/>
      <c r="B376" s="1067"/>
      <c r="C376" s="1549"/>
      <c r="D376" s="1549"/>
      <c r="E376" s="1549"/>
      <c r="F376" s="1549"/>
      <c r="G376" s="1549"/>
    </row>
    <row r="377" spans="1:7" s="1530" customFormat="1" ht="38.25">
      <c r="A377" s="1069"/>
      <c r="B377" s="1067"/>
      <c r="C377" s="1557" t="s">
        <v>2661</v>
      </c>
      <c r="D377" s="1545"/>
      <c r="E377" s="1545"/>
      <c r="F377" s="1545"/>
      <c r="G377" s="1545"/>
    </row>
    <row r="378" spans="1:7" s="1530" customFormat="1" ht="25.5">
      <c r="A378" s="1069"/>
      <c r="B378" s="1067"/>
      <c r="C378" s="1562" t="s">
        <v>2662</v>
      </c>
      <c r="D378" s="1540"/>
      <c r="E378" s="1540"/>
      <c r="F378" s="1540"/>
      <c r="G378" s="1540"/>
    </row>
    <row r="379" spans="1:7" s="1530" customFormat="1">
      <c r="A379" s="1069"/>
      <c r="B379" s="1067"/>
      <c r="C379" s="1549"/>
      <c r="D379" s="1549"/>
      <c r="E379" s="1549"/>
      <c r="F379" s="1549"/>
      <c r="G379" s="1549"/>
    </row>
    <row r="380" spans="1:7" s="1530" customFormat="1" ht="51">
      <c r="A380" s="1069"/>
      <c r="B380" s="1067"/>
      <c r="C380" s="1557" t="s">
        <v>2663</v>
      </c>
      <c r="D380" s="1545"/>
      <c r="E380" s="1545"/>
      <c r="F380" s="1545"/>
      <c r="G380" s="1545"/>
    </row>
    <row r="381" spans="1:7" s="1530" customFormat="1">
      <c r="A381" s="1069"/>
      <c r="B381" s="1067"/>
      <c r="C381" s="1558"/>
      <c r="D381" s="1549"/>
      <c r="E381" s="1549"/>
      <c r="F381" s="1549"/>
      <c r="G381" s="1549"/>
    </row>
    <row r="382" spans="1:7" s="1530" customFormat="1" ht="38.25">
      <c r="A382" s="1069"/>
      <c r="B382" s="1067"/>
      <c r="C382" s="1540" t="s">
        <v>2664</v>
      </c>
      <c r="D382" s="1540"/>
      <c r="E382" s="1540"/>
      <c r="F382" s="1540"/>
      <c r="G382" s="1540"/>
    </row>
    <row r="383" spans="1:7" s="1530" customFormat="1">
      <c r="A383" s="1069"/>
      <c r="B383" s="1067"/>
      <c r="C383" s="1549"/>
      <c r="D383" s="1549"/>
      <c r="E383" s="1549"/>
      <c r="F383" s="1549"/>
      <c r="G383" s="1549"/>
    </row>
    <row r="384" spans="1:7" s="1530" customFormat="1" ht="38.25">
      <c r="A384" s="1069"/>
      <c r="B384" s="1067"/>
      <c r="C384" s="1557" t="s">
        <v>2665</v>
      </c>
      <c r="D384" s="1545"/>
      <c r="E384" s="1545"/>
      <c r="F384" s="1545"/>
      <c r="G384" s="1545"/>
    </row>
    <row r="385" spans="1:7" s="1530" customFormat="1">
      <c r="A385" s="1069"/>
      <c r="B385" s="1067"/>
      <c r="C385" s="1557"/>
      <c r="D385" s="1545"/>
      <c r="E385" s="1545"/>
      <c r="F385" s="1545"/>
      <c r="G385" s="1545"/>
    </row>
    <row r="386" spans="1:7" s="1530" customFormat="1">
      <c r="A386" s="1523" t="s">
        <v>2847</v>
      </c>
      <c r="B386" s="1084"/>
      <c r="C386" s="1085" t="s">
        <v>489</v>
      </c>
      <c r="D386" s="1545"/>
      <c r="E386" s="1545"/>
      <c r="F386" s="1545"/>
      <c r="G386" s="1545"/>
    </row>
    <row r="387" spans="1:7" s="1530" customFormat="1">
      <c r="A387" s="1069"/>
      <c r="B387" s="1527"/>
      <c r="C387" s="1535"/>
      <c r="D387" s="1545"/>
      <c r="E387" s="1545"/>
      <c r="F387" s="1545"/>
      <c r="G387" s="1545"/>
    </row>
    <row r="388" spans="1:7" s="1530" customFormat="1" ht="51">
      <c r="A388" s="1069"/>
      <c r="B388" s="1527"/>
      <c r="C388" s="1535" t="s">
        <v>1037</v>
      </c>
      <c r="D388" s="1545"/>
      <c r="E388" s="1545"/>
      <c r="F388" s="1545"/>
      <c r="G388" s="1545"/>
    </row>
    <row r="389" spans="1:7" s="1530" customFormat="1">
      <c r="A389" s="1069"/>
      <c r="B389" s="1527"/>
      <c r="C389" s="1535"/>
      <c r="D389" s="1545"/>
      <c r="E389" s="1545"/>
      <c r="F389" s="1545"/>
      <c r="G389" s="1545"/>
    </row>
    <row r="390" spans="1:7" s="1530" customFormat="1">
      <c r="A390" s="1069"/>
      <c r="B390" s="1527"/>
      <c r="C390" s="1535"/>
      <c r="D390" s="1545"/>
      <c r="E390" s="1545"/>
      <c r="F390" s="1545"/>
      <c r="G390" s="1545"/>
    </row>
    <row r="391" spans="1:7" s="1530" customFormat="1">
      <c r="A391" s="1069"/>
      <c r="B391" s="1067"/>
      <c r="C391" s="1557"/>
      <c r="D391" s="1545"/>
      <c r="E391" s="1545"/>
      <c r="F391" s="1545"/>
      <c r="G391" s="1545"/>
    </row>
    <row r="392" spans="1:7" s="1530" customFormat="1">
      <c r="A392" s="1523" t="s">
        <v>2846</v>
      </c>
      <c r="B392" s="1084"/>
      <c r="C392" s="1085" t="s">
        <v>1096</v>
      </c>
      <c r="D392" s="1545"/>
      <c r="E392" s="1545"/>
      <c r="F392" s="1545"/>
      <c r="G392" s="1545"/>
    </row>
    <row r="393" spans="1:7" s="1530" customFormat="1">
      <c r="A393" s="1069"/>
      <c r="B393" s="1527"/>
      <c r="C393" s="1535"/>
      <c r="D393" s="1545"/>
      <c r="E393" s="1545"/>
      <c r="F393" s="1545"/>
      <c r="G393" s="1545"/>
    </row>
    <row r="394" spans="1:7" s="1530" customFormat="1" ht="51">
      <c r="A394" s="1069"/>
      <c r="B394" s="1527"/>
      <c r="C394" s="1535" t="s">
        <v>1761</v>
      </c>
      <c r="D394" s="1545"/>
      <c r="E394" s="1545"/>
      <c r="F394" s="1545"/>
      <c r="G394" s="1545"/>
    </row>
    <row r="395" spans="1:7" s="1530" customFormat="1">
      <c r="A395" s="1069"/>
      <c r="B395" s="1527"/>
      <c r="C395" s="1535"/>
      <c r="D395" s="1545"/>
      <c r="E395" s="1545"/>
      <c r="F395" s="1545"/>
      <c r="G395" s="1545"/>
    </row>
    <row r="396" spans="1:7" s="1530" customFormat="1">
      <c r="A396" s="1523" t="s">
        <v>2845</v>
      </c>
      <c r="B396" s="1084"/>
      <c r="C396" s="1085" t="s">
        <v>1098</v>
      </c>
      <c r="D396" s="1545"/>
      <c r="E396" s="1545"/>
      <c r="F396" s="1545"/>
      <c r="G396" s="1545"/>
    </row>
    <row r="397" spans="1:7" s="1530" customFormat="1">
      <c r="A397" s="1069"/>
      <c r="B397" s="1527"/>
      <c r="C397" s="1535"/>
      <c r="D397" s="1545"/>
      <c r="E397" s="1545"/>
      <c r="F397" s="1545"/>
      <c r="G397" s="1545"/>
    </row>
    <row r="398" spans="1:7" s="1530" customFormat="1" ht="51">
      <c r="A398" s="1069"/>
      <c r="B398" s="1527"/>
      <c r="C398" s="1535" t="s">
        <v>1350</v>
      </c>
      <c r="D398" s="1545"/>
      <c r="E398" s="1545"/>
      <c r="F398" s="1545"/>
      <c r="G398" s="1545"/>
    </row>
    <row r="399" spans="1:7" s="1530" customFormat="1">
      <c r="A399" s="1069"/>
      <c r="B399" s="1527"/>
      <c r="C399" s="1535"/>
      <c r="D399" s="1545"/>
      <c r="E399" s="1545"/>
      <c r="F399" s="1545"/>
      <c r="G399" s="1545"/>
    </row>
    <row r="400" spans="1:7" s="1530" customFormat="1">
      <c r="A400" s="1523" t="s">
        <v>2844</v>
      </c>
      <c r="B400" s="1084"/>
      <c r="C400" s="1085" t="s">
        <v>1099</v>
      </c>
      <c r="D400" s="1545"/>
      <c r="E400" s="1545"/>
      <c r="F400" s="1545"/>
      <c r="G400" s="1545"/>
    </row>
    <row r="401" spans="1:7" s="1530" customFormat="1">
      <c r="A401" s="1069"/>
      <c r="B401" s="1527"/>
      <c r="C401" s="1535"/>
      <c r="D401" s="1545"/>
      <c r="E401" s="1545"/>
      <c r="F401" s="1545"/>
      <c r="G401" s="1545"/>
    </row>
    <row r="402" spans="1:7" s="1530" customFormat="1">
      <c r="A402" s="1069"/>
      <c r="B402" s="1527"/>
      <c r="C402" s="1535" t="s">
        <v>34</v>
      </c>
      <c r="D402" s="1545"/>
      <c r="E402" s="1545"/>
      <c r="F402" s="1545"/>
      <c r="G402" s="1545"/>
    </row>
    <row r="403" spans="1:7" s="1530" customFormat="1">
      <c r="A403" s="1069"/>
      <c r="B403" s="1527"/>
      <c r="C403" s="1535"/>
      <c r="D403" s="1545"/>
      <c r="E403" s="1545"/>
      <c r="F403" s="1545"/>
      <c r="G403" s="1545"/>
    </row>
    <row r="404" spans="1:7" s="1530" customFormat="1">
      <c r="A404" s="1523" t="s">
        <v>2843</v>
      </c>
      <c r="B404" s="1084"/>
      <c r="C404" s="1085" t="s">
        <v>1100</v>
      </c>
      <c r="D404" s="1545"/>
      <c r="E404" s="1545"/>
      <c r="F404" s="1545"/>
      <c r="G404" s="1545"/>
    </row>
    <row r="405" spans="1:7" s="1530" customFormat="1">
      <c r="A405" s="1069"/>
      <c r="B405" s="1527"/>
      <c r="C405" s="1535"/>
      <c r="D405" s="1545"/>
      <c r="E405" s="1545"/>
      <c r="F405" s="1545"/>
      <c r="G405" s="1545"/>
    </row>
    <row r="406" spans="1:7" s="1530" customFormat="1" ht="25.5">
      <c r="A406" s="1069"/>
      <c r="B406" s="1527"/>
      <c r="C406" s="1535" t="s">
        <v>1113</v>
      </c>
      <c r="D406" s="1545"/>
      <c r="E406" s="1545"/>
      <c r="F406" s="1545"/>
      <c r="G406" s="1545"/>
    </row>
    <row r="407" spans="1:7" s="1530" customFormat="1">
      <c r="A407" s="1069"/>
      <c r="B407" s="1527"/>
      <c r="C407" s="1535"/>
      <c r="D407" s="1545"/>
      <c r="E407" s="1545"/>
      <c r="F407" s="1545"/>
      <c r="G407" s="1545"/>
    </row>
    <row r="408" spans="1:7" s="1530" customFormat="1">
      <c r="A408" s="1523" t="s">
        <v>2842</v>
      </c>
      <c r="B408" s="1084"/>
      <c r="C408" s="1085" t="s">
        <v>1450</v>
      </c>
      <c r="D408" s="1545"/>
      <c r="E408" s="1545"/>
      <c r="F408" s="1545"/>
      <c r="G408" s="1545"/>
    </row>
    <row r="409" spans="1:7" s="1530" customFormat="1">
      <c r="A409" s="1069"/>
      <c r="B409" s="1527"/>
      <c r="C409" s="1535"/>
      <c r="D409" s="1545"/>
      <c r="E409" s="1545"/>
      <c r="F409" s="1545"/>
      <c r="G409" s="1545"/>
    </row>
    <row r="410" spans="1:7" s="1530" customFormat="1" ht="51">
      <c r="A410" s="1069"/>
      <c r="B410" s="1528"/>
      <c r="C410" s="1640" t="s">
        <v>2944</v>
      </c>
      <c r="D410" s="1545"/>
      <c r="E410" s="1545"/>
      <c r="F410" s="1545"/>
      <c r="G410" s="1545"/>
    </row>
    <row r="411" spans="1:7" s="1530" customFormat="1">
      <c r="A411" s="1069"/>
      <c r="B411" s="1528"/>
      <c r="C411" s="1535"/>
      <c r="D411" s="1545"/>
      <c r="E411" s="1545"/>
      <c r="F411" s="1545"/>
      <c r="G411" s="1545"/>
    </row>
    <row r="412" spans="1:7" s="1530" customFormat="1">
      <c r="A412" s="1523" t="s">
        <v>2841</v>
      </c>
      <c r="B412" s="1527"/>
      <c r="C412" s="1085" t="s">
        <v>1940</v>
      </c>
      <c r="D412" s="1545"/>
      <c r="E412" s="1545"/>
      <c r="F412" s="1545"/>
      <c r="G412" s="1545"/>
    </row>
    <row r="413" spans="1:7" s="1530" customFormat="1">
      <c r="A413" s="1069"/>
      <c r="B413" s="1527"/>
      <c r="C413" s="1535"/>
      <c r="D413" s="1545"/>
      <c r="E413" s="1545"/>
      <c r="F413" s="1545"/>
      <c r="G413" s="1545"/>
    </row>
    <row r="414" spans="1:7" s="1530" customFormat="1" ht="20.25" customHeight="1">
      <c r="A414" s="1069"/>
      <c r="B414" s="1527"/>
      <c r="C414" s="1535" t="s">
        <v>1990</v>
      </c>
      <c r="D414" s="1545"/>
      <c r="E414" s="1545"/>
      <c r="F414" s="1545"/>
      <c r="G414" s="1545"/>
    </row>
    <row r="415" spans="1:7" s="1530" customFormat="1" ht="18" customHeight="1">
      <c r="A415" s="1069"/>
      <c r="B415" s="1527"/>
      <c r="C415" s="1544" t="s">
        <v>2748</v>
      </c>
      <c r="D415" s="1545"/>
      <c r="E415" s="1545"/>
      <c r="F415" s="1545"/>
      <c r="G415" s="1545"/>
    </row>
    <row r="416" spans="1:7" s="1530" customFormat="1" ht="20.25" customHeight="1">
      <c r="A416" s="1069"/>
      <c r="B416" s="1527"/>
      <c r="C416" s="1087" t="s">
        <v>2749</v>
      </c>
      <c r="D416" s="1545"/>
      <c r="E416" s="1545"/>
      <c r="F416" s="1545"/>
      <c r="G416" s="1545"/>
    </row>
    <row r="417" spans="1:7" s="1530" customFormat="1">
      <c r="A417" s="1069"/>
      <c r="B417" s="1067"/>
      <c r="C417" s="1557"/>
      <c r="D417" s="1545"/>
      <c r="E417" s="1545"/>
      <c r="F417" s="1545"/>
      <c r="G417" s="1545"/>
    </row>
    <row r="418" spans="1:7" s="1530" customFormat="1">
      <c r="A418" s="1069"/>
      <c r="B418" s="1067"/>
      <c r="C418" s="1557"/>
      <c r="D418" s="1545"/>
      <c r="E418" s="1545"/>
      <c r="F418" s="1545"/>
      <c r="G418" s="1545"/>
    </row>
    <row r="419" spans="1:7" s="1530" customFormat="1">
      <c r="A419" s="1546"/>
      <c r="B419" s="1547"/>
      <c r="C419" s="1545"/>
    </row>
    <row r="420" spans="1:7" s="1530" customFormat="1">
      <c r="A420" s="1546"/>
      <c r="B420" s="1547"/>
      <c r="C420" s="1545"/>
    </row>
    <row r="421" spans="1:7" s="1530" customFormat="1">
      <c r="A421" s="1546"/>
      <c r="B421" s="1547"/>
      <c r="C421" s="1545"/>
    </row>
    <row r="422" spans="1:7" s="1530" customFormat="1">
      <c r="A422" s="1546"/>
      <c r="B422" s="1547"/>
      <c r="C422" s="1545"/>
    </row>
    <row r="423" spans="1:7" s="1530" customFormat="1">
      <c r="A423" s="1546"/>
      <c r="B423" s="1547"/>
      <c r="C423" s="1545"/>
    </row>
    <row r="424" spans="1:7" s="1530" customFormat="1">
      <c r="A424" s="1546"/>
      <c r="B424" s="1547"/>
      <c r="C424" s="1545"/>
    </row>
    <row r="425" spans="1:7" s="1530" customFormat="1">
      <c r="A425" s="1546"/>
      <c r="B425" s="1547"/>
      <c r="C425" s="1545"/>
    </row>
    <row r="426" spans="1:7" s="1530" customFormat="1">
      <c r="A426" s="1546"/>
      <c r="B426" s="1547"/>
      <c r="C426" s="1545"/>
    </row>
    <row r="427" spans="1:7" s="1530" customFormat="1">
      <c r="A427" s="1546"/>
      <c r="B427" s="1547"/>
      <c r="C427" s="1545"/>
    </row>
    <row r="428" spans="1:7" s="1530" customFormat="1">
      <c r="A428" s="1546"/>
      <c r="B428" s="1547"/>
      <c r="C428" s="1545"/>
    </row>
    <row r="429" spans="1:7" s="1530" customFormat="1">
      <c r="A429" s="1546"/>
      <c r="B429" s="1547"/>
      <c r="C429" s="1545"/>
    </row>
    <row r="430" spans="1:7" s="1530" customFormat="1">
      <c r="A430" s="1546"/>
      <c r="B430" s="1547"/>
      <c r="C430" s="1545"/>
    </row>
    <row r="431" spans="1:7" s="1530" customFormat="1">
      <c r="A431" s="1546"/>
      <c r="B431" s="1547"/>
      <c r="C431" s="1545"/>
    </row>
    <row r="432" spans="1:7" s="1530" customFormat="1">
      <c r="A432" s="1546"/>
      <c r="B432" s="1547"/>
      <c r="C432" s="1545"/>
    </row>
    <row r="433" spans="1:3" s="1530" customFormat="1">
      <c r="A433" s="1546"/>
      <c r="B433" s="1547"/>
      <c r="C433" s="1545"/>
    </row>
    <row r="434" spans="1:3" s="1530" customFormat="1">
      <c r="A434" s="1546"/>
      <c r="B434" s="1547"/>
      <c r="C434" s="1545"/>
    </row>
    <row r="435" spans="1:3" s="1530" customFormat="1">
      <c r="A435" s="1546"/>
      <c r="B435" s="1547"/>
      <c r="C435" s="1545"/>
    </row>
    <row r="436" spans="1:3" s="1530" customFormat="1">
      <c r="A436" s="1546"/>
      <c r="B436" s="1547"/>
      <c r="C436" s="1545"/>
    </row>
    <row r="437" spans="1:3" s="1530" customFormat="1">
      <c r="A437" s="1546"/>
      <c r="B437" s="1547"/>
      <c r="C437" s="1545"/>
    </row>
    <row r="438" spans="1:3" s="1530" customFormat="1">
      <c r="A438" s="1546"/>
      <c r="B438" s="1547"/>
      <c r="C438" s="1545"/>
    </row>
    <row r="439" spans="1:3" s="1530" customFormat="1">
      <c r="A439" s="1546"/>
      <c r="B439" s="1547"/>
      <c r="C439" s="1545"/>
    </row>
    <row r="440" spans="1:3" s="1530" customFormat="1">
      <c r="A440" s="1546"/>
      <c r="B440" s="1547"/>
      <c r="C440" s="1545"/>
    </row>
    <row r="441" spans="1:3" s="1530" customFormat="1">
      <c r="A441" s="1546"/>
      <c r="B441" s="1547"/>
      <c r="C441" s="1545"/>
    </row>
    <row r="442" spans="1:3" s="1530" customFormat="1">
      <c r="A442" s="1546"/>
      <c r="B442" s="1547"/>
      <c r="C442" s="1545"/>
    </row>
    <row r="443" spans="1:3" s="1530" customFormat="1">
      <c r="A443" s="1546"/>
      <c r="B443" s="1547"/>
      <c r="C443" s="1545"/>
    </row>
    <row r="444" spans="1:3" s="1530" customFormat="1">
      <c r="A444" s="1546"/>
      <c r="B444" s="1547"/>
      <c r="C444" s="1545"/>
    </row>
    <row r="445" spans="1:3" s="1530" customFormat="1">
      <c r="A445" s="1546"/>
      <c r="B445" s="1547"/>
      <c r="C445" s="1545"/>
    </row>
    <row r="446" spans="1:3" s="1530" customFormat="1">
      <c r="A446" s="1546"/>
      <c r="B446" s="1547"/>
      <c r="C446" s="1545"/>
    </row>
    <row r="447" spans="1:3" s="1530" customFormat="1">
      <c r="A447" s="1546"/>
      <c r="B447" s="1547"/>
      <c r="C447" s="1545"/>
    </row>
    <row r="448" spans="1:3" s="1530" customFormat="1">
      <c r="A448" s="1546"/>
      <c r="B448" s="1547"/>
      <c r="C448" s="1545"/>
    </row>
    <row r="449" spans="1:3" s="1530" customFormat="1">
      <c r="A449" s="1546"/>
      <c r="B449" s="1547"/>
      <c r="C449" s="1545"/>
    </row>
    <row r="450" spans="1:3" s="1530" customFormat="1">
      <c r="A450" s="1546"/>
      <c r="B450" s="1547"/>
      <c r="C450" s="1545"/>
    </row>
    <row r="451" spans="1:3" s="1530" customFormat="1">
      <c r="A451" s="1546"/>
      <c r="B451" s="1547"/>
      <c r="C451" s="1545"/>
    </row>
    <row r="452" spans="1:3" s="1530" customFormat="1">
      <c r="A452" s="1546"/>
      <c r="B452" s="1547"/>
      <c r="C452" s="1545"/>
    </row>
    <row r="453" spans="1:3" s="1530" customFormat="1">
      <c r="A453" s="1546"/>
      <c r="B453" s="1547"/>
      <c r="C453" s="1545"/>
    </row>
    <row r="454" spans="1:3" s="1530" customFormat="1">
      <c r="A454" s="1546"/>
      <c r="B454" s="1547"/>
      <c r="C454" s="1545"/>
    </row>
    <row r="455" spans="1:3" s="1530" customFormat="1">
      <c r="A455" s="1546"/>
      <c r="B455" s="1547"/>
      <c r="C455" s="1545" t="s">
        <v>652</v>
      </c>
    </row>
    <row r="456" spans="1:3" s="1530" customFormat="1">
      <c r="A456" s="1546"/>
      <c r="B456" s="1547"/>
      <c r="C456" s="1545"/>
    </row>
    <row r="457" spans="1:3" s="1530" customFormat="1">
      <c r="A457" s="1546"/>
      <c r="B457" s="1547"/>
      <c r="C457" s="1545"/>
    </row>
    <row r="458" spans="1:3" s="1530" customFormat="1">
      <c r="A458" s="1546"/>
      <c r="B458" s="1547"/>
      <c r="C458" s="1545"/>
    </row>
    <row r="459" spans="1:3" s="1530" customFormat="1">
      <c r="A459" s="1546"/>
      <c r="B459" s="1547"/>
      <c r="C459" s="1545"/>
    </row>
    <row r="460" spans="1:3" s="1530" customFormat="1">
      <c r="A460" s="1546"/>
      <c r="B460" s="1547"/>
      <c r="C460" s="1545"/>
    </row>
    <row r="461" spans="1:3" s="1530" customFormat="1">
      <c r="A461" s="1546"/>
      <c r="B461" s="1547"/>
      <c r="C461" s="1545"/>
    </row>
    <row r="462" spans="1:3" s="1530" customFormat="1">
      <c r="A462" s="1546"/>
      <c r="B462" s="1547"/>
      <c r="C462" s="1545"/>
    </row>
    <row r="463" spans="1:3" s="1530" customFormat="1">
      <c r="A463" s="1546"/>
      <c r="B463" s="1547"/>
      <c r="C463" s="1545"/>
    </row>
  </sheetData>
  <mergeCells count="10">
    <mergeCell ref="A1:D1"/>
    <mergeCell ref="A2:D2"/>
    <mergeCell ref="C32:G32"/>
    <mergeCell ref="C33:G33"/>
    <mergeCell ref="C42:G42"/>
    <mergeCell ref="C34:G34"/>
    <mergeCell ref="C35:G35"/>
    <mergeCell ref="C36:G36"/>
    <mergeCell ref="C38:G38"/>
    <mergeCell ref="C41:G41"/>
  </mergeCells>
  <phoneticPr fontId="0" type="noConversion"/>
  <printOptions horizontalCentered="1"/>
  <pageMargins left="0.6692913385826772" right="0.39370078740157483" top="0.98425196850393704" bottom="0.98425196850393704" header="0.51181102362204722" footer="0.51181102362204722"/>
  <pageSetup scale="91" fitToHeight="15" orientation="portrait" r:id="rId1"/>
  <headerFooter alignWithMargins="0">
    <oddHeader>&amp;C FINANCIAL STATEMENTS: MUSINA LOCAL MUNICIPALITY</oddHeader>
    <oddFooter>&amp;RPage &amp;P</oddFooter>
  </headerFooter>
  <rowBreaks count="6" manualBreakCount="6">
    <brk id="208" max="3" man="1"/>
    <brk id="230" max="3" man="1"/>
    <brk id="245" max="3" man="1"/>
    <brk id="303" max="3" man="1"/>
    <brk id="335" max="3" man="1"/>
    <brk id="362"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54</vt:i4>
      </vt:variant>
    </vt:vector>
  </HeadingPairs>
  <TitlesOfParts>
    <vt:vector size="97" baseType="lpstr">
      <vt:lpstr>COVER</vt:lpstr>
      <vt:lpstr> INDEX</vt:lpstr>
      <vt:lpstr>APP</vt:lpstr>
      <vt:lpstr>General Information</vt:lpstr>
      <vt:lpstr>Statement of Financial Position</vt:lpstr>
      <vt:lpstr>Statement of Financial Performa</vt:lpstr>
      <vt:lpstr>Cash Flow Statement</vt:lpstr>
      <vt:lpstr>Changes in Net assets</vt:lpstr>
      <vt:lpstr>Note 1 Accounting Policy</vt:lpstr>
      <vt:lpstr>Notes 2 - 9</vt:lpstr>
      <vt:lpstr>Note 10</vt:lpstr>
      <vt:lpstr>Nota 10a </vt:lpstr>
      <vt:lpstr>Note 10b</vt:lpstr>
      <vt:lpstr>Note 11-14</vt:lpstr>
      <vt:lpstr>Note 15</vt:lpstr>
      <vt:lpstr>Note 15A&amp;15B</vt:lpstr>
      <vt:lpstr>Note 16-17</vt:lpstr>
      <vt:lpstr>Notes 18-39</vt:lpstr>
      <vt:lpstr>Note 39(Cont)</vt:lpstr>
      <vt:lpstr>Note 44-50</vt:lpstr>
      <vt:lpstr>Appendix A</vt:lpstr>
      <vt:lpstr>Appendix B</vt:lpstr>
      <vt:lpstr>App B(1)</vt:lpstr>
      <vt:lpstr>App B (2)</vt:lpstr>
      <vt:lpstr>Appendix C</vt:lpstr>
      <vt:lpstr>App C (1)</vt:lpstr>
      <vt:lpstr>App C (2)</vt:lpstr>
      <vt:lpstr>Appendix D</vt:lpstr>
      <vt:lpstr>Appendix E(1)</vt:lpstr>
      <vt:lpstr>Appendix E(1)a</vt:lpstr>
      <vt:lpstr>Appendix E(2)</vt:lpstr>
      <vt:lpstr>Appendix F</vt:lpstr>
      <vt:lpstr>Appendix G</vt:lpstr>
      <vt:lpstr>CAPITAL</vt:lpstr>
      <vt:lpstr>main TB</vt:lpstr>
      <vt:lpstr>TRAIL BALANCE</vt:lpstr>
      <vt:lpstr>EMPLOYEE COST 1011</vt:lpstr>
      <vt:lpstr>GENERAL EXP NOTA 35</vt:lpstr>
      <vt:lpstr>WORK PAPER INCOME</vt:lpstr>
      <vt:lpstr>WORK PAPER STATE COMPARITIVE</vt:lpstr>
      <vt:lpstr>Nota 10d</vt:lpstr>
      <vt:lpstr>Nota 10.1-10.5</vt:lpstr>
      <vt:lpstr>Note 43</vt:lpstr>
      <vt:lpstr>'Note 1 Accounting Policy'!_Toc203654196</vt:lpstr>
      <vt:lpstr>' INDEX'!Print_Area</vt:lpstr>
      <vt:lpstr>APP!Print_Area</vt:lpstr>
      <vt:lpstr>'App B (2)'!Print_Area</vt:lpstr>
      <vt:lpstr>'App B(1)'!Print_Area</vt:lpstr>
      <vt:lpstr>'App C (1)'!Print_Area</vt:lpstr>
      <vt:lpstr>'App C (2)'!Print_Area</vt:lpstr>
      <vt:lpstr>'Appendix A'!Print_Area</vt:lpstr>
      <vt:lpstr>'Appendix B'!Print_Area</vt:lpstr>
      <vt:lpstr>'Appendix C'!Print_Area</vt:lpstr>
      <vt:lpstr>'Appendix D'!Print_Area</vt:lpstr>
      <vt:lpstr>'Appendix E(1)'!Print_Area</vt:lpstr>
      <vt:lpstr>'Appendix E(1)a'!Print_Area</vt:lpstr>
      <vt:lpstr>'Appendix E(2)'!Print_Area</vt:lpstr>
      <vt:lpstr>'Appendix F'!Print_Area</vt:lpstr>
      <vt:lpstr>'Appendix G'!Print_Area</vt:lpstr>
      <vt:lpstr>'Cash Flow Statement'!Print_Area</vt:lpstr>
      <vt:lpstr>'Changes in Net assets'!Print_Area</vt:lpstr>
      <vt:lpstr>COVER!Print_Area</vt:lpstr>
      <vt:lpstr>'GENERAL EXP NOTA 35'!Print_Area</vt:lpstr>
      <vt:lpstr>'General Information'!Print_Area</vt:lpstr>
      <vt:lpstr>'main TB'!Print_Area</vt:lpstr>
      <vt:lpstr>'Nota 10a '!Print_Area</vt:lpstr>
      <vt:lpstr>'Note 1 Accounting Policy'!Print_Area</vt:lpstr>
      <vt:lpstr>'Note 10b'!Print_Area</vt:lpstr>
      <vt:lpstr>'Note 11-14'!Print_Area</vt:lpstr>
      <vt:lpstr>'Note 15'!Print_Area</vt:lpstr>
      <vt:lpstr>'Note 15A&amp;15B'!Print_Area</vt:lpstr>
      <vt:lpstr>'Note 16-17'!Print_Area</vt:lpstr>
      <vt:lpstr>'Note 39(Cont)'!Print_Area</vt:lpstr>
      <vt:lpstr>'Note 43'!Print_Area</vt:lpstr>
      <vt:lpstr>'Note 44-50'!Print_Area</vt:lpstr>
      <vt:lpstr>'Notes 18-39'!Print_Area</vt:lpstr>
      <vt:lpstr>'Notes 2 - 9'!Print_Area</vt:lpstr>
      <vt:lpstr>'Statement of Financial Performa'!Print_Area</vt:lpstr>
      <vt:lpstr>'Statement of Financial Position'!Print_Area</vt:lpstr>
      <vt:lpstr>'TRAIL BALANCE'!Print_Area</vt:lpstr>
      <vt:lpstr>'WORK PAPER STATE COMPARITIVE'!Print_Area</vt:lpstr>
      <vt:lpstr>' INDEX'!Print_Titles</vt:lpstr>
      <vt:lpstr>'main TB'!Print_Titles</vt:lpstr>
      <vt:lpstr>'Note 1 Accounting Policy'!Print_Titles</vt:lpstr>
      <vt:lpstr>'Note 11-14'!Print_Titles</vt:lpstr>
      <vt:lpstr>'Note 15'!Print_Titles</vt:lpstr>
      <vt:lpstr>'Note 16-17'!Print_Titles</vt:lpstr>
      <vt:lpstr>'Note 39(Cont)'!Print_Titles</vt:lpstr>
      <vt:lpstr>'Note 43'!Print_Titles</vt:lpstr>
      <vt:lpstr>'Notes 18-39'!Print_Titles</vt:lpstr>
      <vt:lpstr>'Notes 2 - 9'!Print_Titles</vt:lpstr>
      <vt:lpstr>'TRAIL BALANCE'!Print_Titles</vt:lpstr>
      <vt:lpstr>'main TB'!Query_from_ProMIS</vt:lpstr>
      <vt:lpstr>'TRAIL BALANCE'!Query_from_ProMIS</vt:lpstr>
      <vt:lpstr>'TRAIL BALANCE'!Query_from_ProMIS_1</vt:lpstr>
      <vt:lpstr>'WORK PAPER STATE COMPARITIVE'!Query_from_ProMIS_2</vt:lpstr>
      <vt:lpstr>'WORK PAPER STATE COMPARITIVE'!Query_from_ProMIS_3</vt:lpstr>
    </vt:vector>
  </TitlesOfParts>
  <Company>Private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Heila Welgemoed</dc:creator>
  <cp:lastModifiedBy>nakkiet</cp:lastModifiedBy>
  <cp:lastPrinted>2012-08-28T06:18:51Z</cp:lastPrinted>
  <dcterms:created xsi:type="dcterms:W3CDTF">2008-06-30T11:37:03Z</dcterms:created>
  <dcterms:modified xsi:type="dcterms:W3CDTF">2012-09-19T10:29:39Z</dcterms:modified>
</cp:coreProperties>
</file>