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bo\Desktop\backup\Desktop\Budget Process 2014_2015\Budget1415 Strats planning\Draft Budget after Strats 2014_2015\Final Budget 2014_2015\"/>
    </mc:Choice>
  </mc:AlternateContent>
  <workbookProtection workbookPassword="F954" lockStructure="1"/>
  <bookViews>
    <workbookView xWindow="-15" yWindow="-15" windowWidth="11595" windowHeight="7350" activeTab="4"/>
  </bookViews>
  <sheets>
    <sheet name="Summary list" sheetId="7" r:id="rId1"/>
    <sheet name="FinPerform" sheetId="2" r:id="rId2"/>
    <sheet name="Capital" sheetId="4" r:id="rId3"/>
    <sheet name="IDP" sheetId="5" r:id="rId4"/>
    <sheet name="Misc" sheetId="6" r:id="rId5"/>
  </sheets>
  <externalReferences>
    <externalReference r:id="rId6"/>
    <externalReference r:id="rId7"/>
    <externalReference r:id="rId8"/>
    <externalReference r:id="rId9"/>
  </externalReferences>
  <definedNames>
    <definedName name="_ADJ1">[1]Names!$B$177</definedName>
    <definedName name="_ADJ10">[1]Names!$B$186</definedName>
    <definedName name="_ADJ11">[1]Names!$B$232</definedName>
    <definedName name="_ADJ12">[1]Names!$B$188</definedName>
    <definedName name="_ADJ13">[1]Names!$B$189</definedName>
    <definedName name="_ADJ14">[1]Names!$B$206</definedName>
    <definedName name="_ADJ16">[1]Names!$B$190</definedName>
    <definedName name="_ADJ17">[1]Names!$B$203</definedName>
    <definedName name="_ADJ18">[1]Names!$B$198</definedName>
    <definedName name="_ADJ19">[1]Names!$B$201</definedName>
    <definedName name="_ADJ2">[1]Names!$B$178</definedName>
    <definedName name="_ADJ3">[1]Names!$B$179</definedName>
    <definedName name="_ADJ4">[1]Names!$B$180</definedName>
    <definedName name="_ADJ5">[1]Names!$B$181</definedName>
    <definedName name="_ADJ6">[1]Names!$B$182</definedName>
    <definedName name="_ADJ7">[1]Names!$B$183</definedName>
    <definedName name="_ADJ8">[1]Names!$B$184</definedName>
    <definedName name="_ADJ9">[1]Names!$B$185</definedName>
    <definedName name="_ccf04">'[1]Economic assumptions'!#REF!</definedName>
    <definedName name="_ccf05">'[1]Economic assumptions'!#REF!</definedName>
    <definedName name="_ccf06">'[1]Economic assumptions'!$C$13</definedName>
    <definedName name="_ccf07">'[1]Economic assumptions'!$D$13</definedName>
    <definedName name="_ccf08">'[1]Economic assumptions'!$E$13</definedName>
    <definedName name="_ccf09">'[1]Economic assumptions'!$F$13</definedName>
    <definedName name="_ccf10">'[1]Economic assumptions'!$G$13</definedName>
    <definedName name="_ccf11">'[1]Economic assumptions'!$H$13</definedName>
    <definedName name="_ccf12">'[1]Economic assumptions'!$I$13</definedName>
    <definedName name="_ccf13">'[1]Economic assumptions'!$J$13</definedName>
    <definedName name="_cpi1">'[2]Balance Sheet'!$D$50</definedName>
    <definedName name="_cpi2">'[2]Balance Sheet'!$E$50</definedName>
    <definedName name="_cpi3">'[2]Balance Sheet'!$F$50</definedName>
    <definedName name="_DEP1">[1]Names!$B$71</definedName>
    <definedName name="_DEP10">[1]Names!$B$80</definedName>
    <definedName name="_DEP11">[1]Names!$B$81</definedName>
    <definedName name="_DEP12">[1]Names!$B$82</definedName>
    <definedName name="_DEP13">[1]Names!$B$83</definedName>
    <definedName name="_DEP14">[1]Names!$B$84</definedName>
    <definedName name="_DEP2">[1]Names!$B$72</definedName>
    <definedName name="_DEP3">[1]Names!$B$73</definedName>
    <definedName name="_DEP4">[1]Names!$B$74</definedName>
    <definedName name="_DEP5">[1]Names!$B$75</definedName>
    <definedName name="_DEP6">[1]Names!$B$76</definedName>
    <definedName name="_DEP7">[1]Names!$B$77</definedName>
    <definedName name="_DEP8">[1]Names!$B$78</definedName>
    <definedName name="_DEP9">[1]Names!$B$79</definedName>
    <definedName name="_ecf04">'[1]Economic assumptions'!#REF!</definedName>
    <definedName name="_ecf05">'[1]Economic assumptions'!#REF!</definedName>
    <definedName name="_ecf06">'[1]Economic assumptions'!$C$7</definedName>
    <definedName name="_ecf07">'[1]Economic assumptions'!$D$7</definedName>
    <definedName name="_ecf08">'[1]Economic assumptions'!$E$7</definedName>
    <definedName name="_ecf09">'[1]Economic assumptions'!$F$7</definedName>
    <definedName name="_ecf10">'[1]Economic assumptions'!$G$7</definedName>
    <definedName name="_ecf11">'[1]Economic assumptions'!$H$7</definedName>
    <definedName name="_ecf12">'[1]Economic assumptions'!$I$7</definedName>
    <definedName name="_ecf13">'[1]Economic assumptions'!$J$7</definedName>
    <definedName name="_emp04">'[1]Economic assumptions'!#REF!</definedName>
    <definedName name="_emp05">'[1]Economic assumptions'!#REF!</definedName>
    <definedName name="_emp06">'[1]Economic assumptions'!$C$3</definedName>
    <definedName name="_emp07">'[1]Economic assumptions'!$D$3</definedName>
    <definedName name="_emp08">'[1]Economic assumptions'!$E$3</definedName>
    <definedName name="_emp09">'[1]Economic assumptions'!$F$3</definedName>
    <definedName name="_emp10">'[1]Economic assumptions'!$G$3</definedName>
    <definedName name="_emp11">'[1]Economic assumptions'!$H$3</definedName>
    <definedName name="_emp12">'[1]Economic assumptions'!$I$3</definedName>
    <definedName name="_emp13">'[1]Economic assumptions'!$J$3</definedName>
    <definedName name="_emp14">'[1]Economic assumptions'!$K$3</definedName>
    <definedName name="_emp15">'[1]Economic assumptions'!$L$3</definedName>
    <definedName name="_emp16">'[1]Economic assumptions'!$M$3</definedName>
    <definedName name="_emp17">'[1]Economic assumptions'!$N$3</definedName>
    <definedName name="_emp18">'[1]Economic assumptions'!$O$3</definedName>
    <definedName name="_emp19">'[1]Economic assumptions'!$P$3</definedName>
    <definedName name="_emp20">'[1]Economic assumptions'!$Q$3</definedName>
    <definedName name="_emp21">'[1]Economic assumptions'!$R$3</definedName>
    <definedName name="_Ent1">[1]Names!$B$96</definedName>
    <definedName name="_Ent2">[1]Names!$B$97</definedName>
    <definedName name="_Ent3">[1]Names!$B$98</definedName>
    <definedName name="_inf1">'[1]Economic assumptions'!#REF!</definedName>
    <definedName name="_inf2">'[1]Economic assumptions'!#REF!</definedName>
    <definedName name="_inf3">'[1]Economic assumptions'!#REF!</definedName>
    <definedName name="_int04">'[1]Economic assumptions'!#REF!</definedName>
    <definedName name="_int05">'[1]Economic assumptions'!#REF!</definedName>
    <definedName name="_int06">'[1]Economic assumptions'!$C$24</definedName>
    <definedName name="_int07">'[1]Economic assumptions'!$D$24</definedName>
    <definedName name="_int08">'[1]Economic assumptions'!$E$24</definedName>
    <definedName name="_int09">'[1]Economic assumptions'!$F$24</definedName>
    <definedName name="_int10">'[1]Economic assumptions'!$G$24</definedName>
    <definedName name="_int11">'[1]Economic assumptions'!$H$24</definedName>
    <definedName name="_int12">'[1]Economic assumptions'!$I$24</definedName>
    <definedName name="_int13">'[1]Economic assumptions'!$J$24</definedName>
    <definedName name="_int14">'[1]Economic assumptions'!$K$24</definedName>
    <definedName name="_int15">'[1]Economic assumptions'!$L$24</definedName>
    <definedName name="_int16">'[1]Economic assumptions'!$M$24</definedName>
    <definedName name="_int17">'[1]Economic assumptions'!$N$24</definedName>
    <definedName name="_int18">'[1]Economic assumptions'!$O$24</definedName>
    <definedName name="_int19">'[1]Economic assumptions'!$P$24</definedName>
    <definedName name="_int20">'[1]Economic assumptions'!$Q$24</definedName>
    <definedName name="_inv04">'[1]Economic assumptions'!#REF!</definedName>
    <definedName name="_inv05">'[1]Economic assumptions'!#REF!</definedName>
    <definedName name="_inv06">'[1]Economic assumptions'!$C$26</definedName>
    <definedName name="_inv07">'[1]Economic assumptions'!$D$26</definedName>
    <definedName name="_inv08">'[1]Economic assumptions'!$E$26</definedName>
    <definedName name="_inv09">'[1]Economic assumptions'!$F$26</definedName>
    <definedName name="_inv10">'[1]Economic assumptions'!$G$26</definedName>
    <definedName name="_inv11">'[1]Economic assumptions'!$H$26</definedName>
    <definedName name="_inv12">'[1]Economic assumptions'!$I$26</definedName>
    <definedName name="_inv13">'[1]Economic assumptions'!$J$26</definedName>
    <definedName name="_MEB1">[1]Names!$B$251</definedName>
    <definedName name="_MEB10">[1]Names!$B$261</definedName>
    <definedName name="_MEB11">[1]Names!$B$265</definedName>
    <definedName name="_MEB12">[1]Names!$B$259</definedName>
    <definedName name="_MEB2">[1]Names!$B$253</definedName>
    <definedName name="_MEB3">[1]Names!$B$254</definedName>
    <definedName name="_MEB4">[1]Names!$B$255</definedName>
    <definedName name="_MEB5">[1]Names!$B$258</definedName>
    <definedName name="_MEB6">[1]Names!$B$256</definedName>
    <definedName name="_MEB7">[1]Names!$B$257</definedName>
    <definedName name="_MEB8">[1]Names!$B$260</definedName>
    <definedName name="_MEB9">[1]Names!$B$262</definedName>
    <definedName name="_MER1">[1]Names!$B$283</definedName>
    <definedName name="_MER10">[1]Names!$B$291</definedName>
    <definedName name="_MER11">[1]Names!$B$292</definedName>
    <definedName name="_MER2">[1]Names!$B$284</definedName>
    <definedName name="_MER3">[1]Names!$B$285</definedName>
    <definedName name="_MER4">[1]Names!$B$286</definedName>
    <definedName name="_MER5">[1]Names!$B$293</definedName>
    <definedName name="_MER6">[1]Names!$B$288</definedName>
    <definedName name="_MER7">[1]Names!$B$289</definedName>
    <definedName name="_MER8">[1]Names!$B$287</definedName>
    <definedName name="_MER9">[1]Names!$B$294</definedName>
    <definedName name="_rat03">#REF!</definedName>
    <definedName name="_rat04">#REF!</definedName>
    <definedName name="_rat05">#REF!</definedName>
    <definedName name="_rat06">#REF!</definedName>
    <definedName name="_rat07">#REF!</definedName>
    <definedName name="_rat08">#REF!</definedName>
    <definedName name="_rat09">#REF!</definedName>
    <definedName name="_rat10">#REF!</definedName>
    <definedName name="_rat11">#REF!</definedName>
    <definedName name="_rat12">#REF!</definedName>
    <definedName name="_rat13">#REF!</definedName>
    <definedName name="_rgr05">'[1]Economic assumptions'!#REF!</definedName>
    <definedName name="_rgr06">'[1]Economic assumptions'!$C$27</definedName>
    <definedName name="_rgr07">'[1]Economic assumptions'!$D$27</definedName>
    <definedName name="_rgr08">'[1]Economic assumptions'!$E$27</definedName>
    <definedName name="_rgr09">'[1]Economic assumptions'!$F$27</definedName>
    <definedName name="_rgr10">'[1]Economic assumptions'!$G$27</definedName>
    <definedName name="_rgr11">'[1]Economic assumptions'!$H$27</definedName>
    <definedName name="_rgr12">'[1]Economic assumptions'!$I$27</definedName>
    <definedName name="_rgr13">'[1]Economic assumptions'!$J$27</definedName>
    <definedName name="_rgr14">'[1]Economic assumptions'!$K$27</definedName>
    <definedName name="_rgr15">'[1]Economic assumptions'!$L$27</definedName>
    <definedName name="_rgr16">'[1]Economic assumptions'!$M$27</definedName>
    <definedName name="_rgr17">'[1]Economic assumptions'!$N$27</definedName>
    <definedName name="_rgr18">'[1]Economic assumptions'!$O$27</definedName>
    <definedName name="_rgr19">'[1]Economic assumptions'!$P$27</definedName>
    <definedName name="_rgr20">'[1]Economic assumptions'!$Q$27</definedName>
    <definedName name="_rmc05">'[1]Economic assumptions'!#REF!</definedName>
    <definedName name="_rmc06">'[1]Economic assumptions'!$C$11</definedName>
    <definedName name="_rmc07">'[1]Economic assumptions'!$D$11</definedName>
    <definedName name="_rmc08">'[1]Economic assumptions'!$E$11</definedName>
    <definedName name="_rmc09">'[1]Economic assumptions'!$F$11</definedName>
    <definedName name="_rmc10">'[1]Economic assumptions'!$G$11</definedName>
    <definedName name="_rmc11">'[1]Economic assumptions'!$H$11</definedName>
    <definedName name="_rmc12">'[1]Economic assumptions'!$I$11</definedName>
    <definedName name="_rmc13">'[1]Economic assumptions'!$J$11</definedName>
    <definedName name="_rmc14">'[1]Economic assumptions'!$K$11</definedName>
    <definedName name="_rmc15">'[1]Economic assumptions'!$L$11</definedName>
    <definedName name="_rmc16">'[1]Economic assumptions'!$M$11</definedName>
    <definedName name="_rmc17">'[1]Economic assumptions'!$N$11</definedName>
    <definedName name="_rmc18">'[1]Economic assumptions'!$O$11</definedName>
    <definedName name="_rmc19">'[1]Economic assumptions'!$P$11</definedName>
    <definedName name="_rmc20">'[1]Economic assumptions'!$Q$11</definedName>
    <definedName name="_rmc21">'[1]Economic assumptions'!$R$11</definedName>
    <definedName name="_Sch1">[1]Names!$B$100</definedName>
    <definedName name="_Sch10">[1]Names!$B$110</definedName>
    <definedName name="_sch11">[1]Names!$B$110</definedName>
    <definedName name="_Sch2">[1]Names!$B$101</definedName>
    <definedName name="_Sch3">[1]Names!$B$102</definedName>
    <definedName name="_Sch4">[1]Names!$B$103</definedName>
    <definedName name="_Sch5">[1]Names!$B$104</definedName>
    <definedName name="_Sch6">[1]Names!$B$105</definedName>
    <definedName name="_Sch7">[1]Names!$B$106</definedName>
    <definedName name="_Sch8">[1]Names!$B$107</definedName>
    <definedName name="_Sch9">[1]Names!$B$109</definedName>
    <definedName name="_sdc05">'[1]Economic assumptions'!#REF!</definedName>
    <definedName name="_sdc06">'[1]Economic assumptions'!$C$8</definedName>
    <definedName name="_sdc07">'[1]Economic assumptions'!$D$8</definedName>
    <definedName name="_sdc08">'[1]Economic assumptions'!$E$8</definedName>
    <definedName name="_sdc09">'[1]Economic assumptions'!$F$8</definedName>
    <definedName name="_sdc10">'[1]Economic assumptions'!$G$8</definedName>
    <definedName name="_sdc11">'[1]Economic assumptions'!$H$8</definedName>
    <definedName name="_sdc12">'[1]Economic assumptions'!$I$8</definedName>
    <definedName name="_sdc13">'[1]Economic assumptions'!$J$8</definedName>
    <definedName name="_sdc14">'[1]Economic assumptions'!$K$8</definedName>
    <definedName name="_sdc15">'[1]Economic assumptions'!$L$8</definedName>
    <definedName name="_sdc16">'[1]Economic assumptions'!$M$8</definedName>
    <definedName name="_sdc17">'[1]Economic assumptions'!$N$8</definedName>
    <definedName name="_sdc18">'[1]Economic assumptions'!$O$8</definedName>
    <definedName name="_sdc19">'[1]Economic assumptions'!$P$8</definedName>
    <definedName name="_sdc20">'[1]Economic assumptions'!$Q$8</definedName>
    <definedName name="_wc05">'[1]Economic assumptions'!#REF!</definedName>
    <definedName name="_wc06">'[1]Economic assumptions'!$C$28</definedName>
    <definedName name="_wc07">'[1]Economic assumptions'!$D$28</definedName>
    <definedName name="_wc08">'[1]Economic assumptions'!$E$28</definedName>
    <definedName name="_wc09">'[1]Economic assumptions'!$F$28</definedName>
    <definedName name="_wc10">'[1]Economic assumptions'!$G$28</definedName>
    <definedName name="_wc11">'[1]Economic assumptions'!$H$28</definedName>
    <definedName name="_wc12">'[1]Economic assumptions'!$I$28</definedName>
    <definedName name="_wc13">'[1]Economic assumptions'!$J$28</definedName>
    <definedName name="_wc14">'[1]Economic assumptions'!$K$28</definedName>
    <definedName name="_wc15">'[1]Economic assumptions'!$L$28</definedName>
    <definedName name="_wc16">'[1]Economic assumptions'!$M$28</definedName>
    <definedName name="_wc17">'[1]Economic assumptions'!$N$28</definedName>
    <definedName name="_wc18">'[1]Economic assumptions'!$O$28</definedName>
    <definedName name="_wc19">'[1]Economic assumptions'!$P$28</definedName>
    <definedName name="_wc20">'[1]Economic assumptions'!$Q$28</definedName>
    <definedName name="ADJ10plus">[1]Names!$B$186</definedName>
    <definedName name="ADJ18A">[1]Names!$B$199</definedName>
    <definedName name="ADJ18B">[1]Names!$B$200</definedName>
    <definedName name="ADJ19B">[1]Names!$B$202</definedName>
    <definedName name="ADJ8A">[1]Names!$B$199</definedName>
    <definedName name="ADJ8B">[1]Names!$B$200</definedName>
    <definedName name="ADJP1">[1]Names!$B$175</definedName>
    <definedName name="adjsum">[1]Names!$B$176</definedName>
    <definedName name="ADJTB1">[1]Names!$B$187</definedName>
    <definedName name="ADJXX">[1]Names!$B$204</definedName>
    <definedName name="assetsched">[1]Names!$B$109</definedName>
    <definedName name="avelife07">#REF!</definedName>
    <definedName name="avelife08">#REF!</definedName>
    <definedName name="avelife09">#REF!</definedName>
    <definedName name="avelife10">#REF!</definedName>
    <definedName name="avelife11">#REF!</definedName>
    <definedName name="avelife12">#REF!</definedName>
    <definedName name="avelife13">#REF!</definedName>
    <definedName name="balloon">'[1]Economic assumptions'!#REF!</definedName>
    <definedName name="basedesc">[1]Names!$E$39:$E$39</definedName>
    <definedName name="baseindex">[1]Names!$B$88:$B$89</definedName>
    <definedName name="Bus">'[1]Economic assumptions'!#REF!</definedName>
    <definedName name="capexfactor">'[1]Economic assumptions'!#REF!</definedName>
    <definedName name="capexlimit06">'[1]Economic assumptions'!$C$14</definedName>
    <definedName name="capexlimit07">'[1]Economic assumptions'!$D$14</definedName>
    <definedName name="capexlimit08">'[1]Economic assumptions'!$E$14</definedName>
    <definedName name="capexlimit09">'[1]Economic assumptions'!$F$14</definedName>
    <definedName name="capexrate04">'[1]Economic assumptions'!#REF!</definedName>
    <definedName name="capexrate05">'[1]Economic assumptions'!#REF!</definedName>
    <definedName name="capexrate06">'[1]Economic assumptions'!$C$33</definedName>
    <definedName name="capexrate07">'[1]Economic assumptions'!$D$33</definedName>
    <definedName name="capexrate08">'[1]Economic assumptions'!$E$33</definedName>
    <definedName name="capexrate09">'[1]Economic assumptions'!$F$33</definedName>
    <definedName name="capexrate10">'[1]Economic assumptions'!$G$33</definedName>
    <definedName name="capexrate11">'[1]Economic assumptions'!$H$33</definedName>
    <definedName name="capexrate12">'[1]Economic assumptions'!$I$33</definedName>
    <definedName name="capexrate13">'[1]Economic assumptions'!$J$33</definedName>
    <definedName name="capexrate14">'[1]Economic assumptions'!$K$33</definedName>
    <definedName name="capexrate15">'[1]Economic assumptions'!$L$33</definedName>
    <definedName name="capexrate16">'[1]Economic assumptions'!$M$33</definedName>
    <definedName name="capexrate17">'[1]Economic assumptions'!$N$33</definedName>
    <definedName name="capexrate18">'[1]Economic assumptions'!$O$33</definedName>
    <definedName name="capexrate19">'[1]Economic assumptions'!$P$33</definedName>
    <definedName name="capexrate20">'[1]Economic assumptions'!$Q$33</definedName>
    <definedName name="capexrate21">'[1]Economic assumptions'!$R$33</definedName>
    <definedName name="Capytd">[1]s71TabB14!$M$9</definedName>
    <definedName name="Cash1">[1]Names!$B$68</definedName>
    <definedName name="Cash2">[1]Names!$B$69</definedName>
    <definedName name="cfactor08">'[1]Economic assumptions'!$E$14</definedName>
    <definedName name="cfactor09">'[1]Economic assumptions'!$F$14</definedName>
    <definedName name="cfactor10">'[1]Economic assumptions'!$G$14</definedName>
    <definedName name="cfactor11">'[1]Economic assumptions'!$H$14</definedName>
    <definedName name="cfactor12">'[1]Economic assumptions'!$I$14</definedName>
    <definedName name="cfactor13">'[1]Economic assumptions'!$J$14</definedName>
    <definedName name="Charges1">[1]Names!$B$125</definedName>
    <definedName name="choosebase">[1]Names!$B$89:$B$90</definedName>
    <definedName name="Consolques">[1]Names!$A$95</definedName>
    <definedName name="cpix04">'[1]Economic assumptions'!#REF!</definedName>
    <definedName name="cpix05">'[1]Economic assumptions'!#REF!</definedName>
    <definedName name="cpix06">'[1]Economic assumptions'!$C$17</definedName>
    <definedName name="cpix07">'[1]Economic assumptions'!$D$17</definedName>
    <definedName name="cpix08">'[1]Economic assumptions'!$E$17</definedName>
    <definedName name="cpix09">'[1]Economic assumptions'!$F$17</definedName>
    <definedName name="cpix10">'[1]Economic assumptions'!$G$17</definedName>
    <definedName name="cpix11">'[1]Economic assumptions'!$H$17</definedName>
    <definedName name="cpix12">'[1]Economic assumptions'!$I$17</definedName>
    <definedName name="cpix13">'[1]Economic assumptions'!$J$17</definedName>
    <definedName name="cpix14">'[1]Economic assumptions'!$K$17</definedName>
    <definedName name="cpix15">'[1]Economic assumptions'!$L$17</definedName>
    <definedName name="cpix16">'[1]Economic assumptions'!$M$17</definedName>
    <definedName name="cpix17">'[1]Economic assumptions'!$N$17</definedName>
    <definedName name="cpix18">'[1]Economic assumptions'!$O$17</definedName>
    <definedName name="cpix19">'[1]Economic assumptions'!$P$17</definedName>
    <definedName name="cpix20">'[1]Economic assumptions'!$Q$17</definedName>
    <definedName name="cpix21">'[1]Economic assumptions'!$R$17</definedName>
    <definedName name="credit06">'[1]Economic assumptions'!#REF!</definedName>
    <definedName name="date">[3]Data!$B$2</definedName>
    <definedName name="debt03">'[1]Economic assumptions'!#REF!</definedName>
    <definedName name="debt04">'[1]Economic assumptions'!#REF!</definedName>
    <definedName name="debt05">'[1]Economic assumptions'!#REF!</definedName>
    <definedName name="debt06">'[1]Economic assumptions'!$C$23</definedName>
    <definedName name="debt07">'[1]Economic assumptions'!$D$23</definedName>
    <definedName name="debt08">'[1]Economic assumptions'!$E$23</definedName>
    <definedName name="debt09">'[1]Economic assumptions'!$F$23</definedName>
    <definedName name="debt10">'[1]Economic assumptions'!$G$23</definedName>
    <definedName name="debt11">'[1]Economic assumptions'!$H$23</definedName>
    <definedName name="debt12">'[1]Economic assumptions'!$I$23</definedName>
    <definedName name="debt13">'[1]Economic assumptions'!$J$23</definedName>
    <definedName name="debt14">'[1]Economic assumptions'!$K$23</definedName>
    <definedName name="debt15">'[1]Economic assumptions'!$L$23</definedName>
    <definedName name="debt16">'[1]Economic assumptions'!$M$23</definedName>
    <definedName name="debt17">'[1]Economic assumptions'!$N$23</definedName>
    <definedName name="debt18">'[1]Economic assumptions'!$O$23</definedName>
    <definedName name="debt19">'[1]Economic assumptions'!$P$23</definedName>
    <definedName name="debt20">'[1]Economic assumptions'!$Q$23</definedName>
    <definedName name="debt21">'[1]Economic assumptions'!$R$23</definedName>
    <definedName name="debtrev04">'[1]Economic assumptions'!#REF!</definedName>
    <definedName name="debtrev05">'[1]Economic assumptions'!#REF!</definedName>
    <definedName name="debtrev06">'[1]Economic assumptions'!$C$20</definedName>
    <definedName name="debtrev07">'[1]Economic assumptions'!$D$20</definedName>
    <definedName name="debtrev08">'[1]Economic assumptions'!$E$20</definedName>
    <definedName name="debtrev09">'[1]Economic assumptions'!$F$20</definedName>
    <definedName name="debtrev10">'[1]Economic assumptions'!$G$20</definedName>
    <definedName name="debtrev11">'[1]Economic assumptions'!$H$20</definedName>
    <definedName name="debtrev12">'[1]Economic assumptions'!$I$20</definedName>
    <definedName name="debtrev13">'[1]Economic assumptions'!$J$20</definedName>
    <definedName name="debtrev14">'[1]Economic assumptions'!$K$20</definedName>
    <definedName name="debtrev15">'[1]Economic assumptions'!$L$20</definedName>
    <definedName name="debtrev16">'[1]Economic assumptions'!$M$20</definedName>
    <definedName name="debtrev17">'[1]Economic assumptions'!$N$20</definedName>
    <definedName name="debtrev18">'[1]Economic assumptions'!$O$20</definedName>
    <definedName name="debtrev19">'[1]Economic assumptions'!$P$20</definedName>
    <definedName name="debtrev20">'[1]Economic assumptions'!$Q$20</definedName>
    <definedName name="debtrev21">'[1]Economic assumptions'!$R$20</definedName>
    <definedName name="desc">[1]Names!$B$30</definedName>
    <definedName name="dfratio03">#REF!</definedName>
    <definedName name="dfratio04">#REF!</definedName>
    <definedName name="dfratio05">#REF!</definedName>
    <definedName name="dfratio06">#REF!</definedName>
    <definedName name="dfratioadj04">#REF!</definedName>
    <definedName name="dfration02">#REF!</definedName>
    <definedName name="ecchoice">'[1]Economic assumptions'!#REF!</definedName>
    <definedName name="elec05">'[1]Economic assumptions'!#REF!</definedName>
    <definedName name="elec06">'[1]Economic assumptions'!$C$19</definedName>
    <definedName name="elec07">'[1]Economic assumptions'!$D$19</definedName>
    <definedName name="elec08">'[1]Economic assumptions'!$E$19</definedName>
    <definedName name="elec09">'[1]Economic assumptions'!$F$19</definedName>
    <definedName name="elec10">'[1]Economic assumptions'!$G$19</definedName>
    <definedName name="elec11">'[1]Economic assumptions'!$H$19</definedName>
    <definedName name="elec12">'[1]Economic assumptions'!$I$19</definedName>
    <definedName name="elec13">'[1]Economic assumptions'!$J$19</definedName>
    <definedName name="elecbulk06">'[1]Economic assumptions'!$C$9</definedName>
    <definedName name="elecextra">'[1]Economic assumptions'!$B$22</definedName>
    <definedName name="elecrev06">'[1]Economic assumptions'!$C$22</definedName>
    <definedName name="elecrev07">'[1]Economic assumptions'!$D$22</definedName>
    <definedName name="elecrev08">'[1]Economic assumptions'!$E$22</definedName>
    <definedName name="elecrev09">'[1]Economic assumptions'!$F$22</definedName>
    <definedName name="elecrev10">'[1]Economic assumptions'!$G$22</definedName>
    <definedName name="elecrev11">'[1]Economic assumptions'!$H$22</definedName>
    <definedName name="elecrev12">'[1]Economic assumptions'!$I$22</definedName>
    <definedName name="elecrev13">'[1]Economic assumptions'!$J$22</definedName>
    <definedName name="elecrev14">'[1]Economic assumptions'!$K$22</definedName>
    <definedName name="elecrev15">'[1]Economic assumptions'!$L$22</definedName>
    <definedName name="elecrev16">'[1]Economic assumptions'!$M$22</definedName>
    <definedName name="elecrev17">'[1]Economic assumptions'!$N$22</definedName>
    <definedName name="elecrev18">'[1]Economic assumptions'!$O$22</definedName>
    <definedName name="elecrev19">'[1]Economic assumptions'!$P$22</definedName>
    <definedName name="elecrev20">'[1]Economic assumptions'!$Q$22</definedName>
    <definedName name="elecrev21">'[1]Economic assumptions'!$R$22</definedName>
    <definedName name="EOYcapex">#REF!</definedName>
    <definedName name="eskom07">'[1]Economic assumptions'!#REF!</definedName>
    <definedName name="fdil">[1]Names!$B$31</definedName>
    <definedName name="finyear">[3]Data!$B$4</definedName>
    <definedName name="finyears">'[1]Economic assumptions'!#REF!</definedName>
    <definedName name="Fundnote">[1]Names!$B$121</definedName>
    <definedName name="Head1">[1]Names!$B$2</definedName>
    <definedName name="Head10">[1]Names!$B$16</definedName>
    <definedName name="Head11">[1]Names!$B$17</definedName>
    <definedName name="Head12">[1]Names!$B$18</definedName>
    <definedName name="Head13">[1]Names!$B$19</definedName>
    <definedName name="Head14">[1]Names!$B$20</definedName>
    <definedName name="Head15">[1]Names!$B$21</definedName>
    <definedName name="Head16">[1]Names!$B$22</definedName>
    <definedName name="Head17">[1]Names!$B$23</definedName>
    <definedName name="Head18">[1]Names!$B$24</definedName>
    <definedName name="Head19">[1]Names!$B$25</definedName>
    <definedName name="head1A">[1]Names!$B$3</definedName>
    <definedName name="head1b">[1]Names!$B$4</definedName>
    <definedName name="Head2">[1]Names!$B$5</definedName>
    <definedName name="Head20">[1]Names!$B$26</definedName>
    <definedName name="Head21">[1]Names!$B$27</definedName>
    <definedName name="Head22">[1]Names!$B$28</definedName>
    <definedName name="Head23">[1]Names!$B$29</definedName>
    <definedName name="Head24">[1]Names!$B$30</definedName>
    <definedName name="head27">[1]Names!$B$33</definedName>
    <definedName name="head27a">[1]Names!$B$34</definedName>
    <definedName name="Head29">[1]Names!$B$36</definedName>
    <definedName name="Head2A">[1]Names!$B$6</definedName>
    <definedName name="Head3">[1]Names!$B$7</definedName>
    <definedName name="Head30">[1]Names!$B$37</definedName>
    <definedName name="Head31">[1]Names!$B$38</definedName>
    <definedName name="Head32">[1]Names!$B$39</definedName>
    <definedName name="Head33">[1]Names!$B$40</definedName>
    <definedName name="Head34">[1]Names!$B$41</definedName>
    <definedName name="Head35">[1]Names!$B$42</definedName>
    <definedName name="Head36">[1]Names!$B$43</definedName>
    <definedName name="Head37">[1]Names!$B$44</definedName>
    <definedName name="Head38">[1]Names!$B$45</definedName>
    <definedName name="Head39">[1]Names!$B$46</definedName>
    <definedName name="Head4">[1]Names!$B$8</definedName>
    <definedName name="Head40">[1]Names!$B$47</definedName>
    <definedName name="Head41">[1]Names!$B$48</definedName>
    <definedName name="Head42">[1]Names!$B$49</definedName>
    <definedName name="Head43">[1]Names!$B$50</definedName>
    <definedName name="Head44">[1]Names!$B$51</definedName>
    <definedName name="Head45">[1]Names!$B$52</definedName>
    <definedName name="head46">[1]Names!$B$53</definedName>
    <definedName name="Head47">[1]Names!$B$54</definedName>
    <definedName name="Head48">[1]Names!$B$55</definedName>
    <definedName name="Head49">[1]Names!$B$56</definedName>
    <definedName name="Head5">[1]Names!$B$9</definedName>
    <definedName name="Head50">[1]Names!$B$57</definedName>
    <definedName name="Head51">[1]Names!$B$58</definedName>
    <definedName name="Head52">[1]Names!$B$59</definedName>
    <definedName name="Head53">[1]Names!$B$60</definedName>
    <definedName name="Head54">[1]Names!$B$61</definedName>
    <definedName name="Head55">[1]Names!$B$62</definedName>
    <definedName name="Head56">[1]Names!$B$63</definedName>
    <definedName name="Head5A">[1]Names!$B$10</definedName>
    <definedName name="Head5b">[1]Names!$B$11</definedName>
    <definedName name="Head6">[1]Names!$B$12</definedName>
    <definedName name="Head7">[1]Names!$B$13</definedName>
    <definedName name="Head8">[1]Names!$B$14</definedName>
    <definedName name="Head9">[1]Names!$B$15</definedName>
    <definedName name="hhgr05">'[1]Economic assumptions'!#REF!</definedName>
    <definedName name="hhgr06">'[1]Economic assumptions'!$C$29</definedName>
    <definedName name="hhgr07">'[1]Economic assumptions'!$D$29</definedName>
    <definedName name="hhgr08">'[1]Economic assumptions'!$E$29</definedName>
    <definedName name="hhgr09">'[1]Economic assumptions'!$F$29</definedName>
    <definedName name="hhgr10">'[1]Economic assumptions'!$G$29</definedName>
    <definedName name="hhgr11">'[1]Economic assumptions'!$H$29</definedName>
    <definedName name="hhgr12">'[1]Economic assumptions'!$I$29</definedName>
    <definedName name="hhgr13">'[1]Economic assumptions'!$J$29</definedName>
    <definedName name="hhgr14">'[1]Economic assumptions'!$K$29</definedName>
    <definedName name="hhgr15">'[1]Economic assumptions'!$L$29</definedName>
    <definedName name="hhgr16">'[1]Economic assumptions'!$M$29</definedName>
    <definedName name="hhgr17">'[1]Economic assumptions'!$N$29</definedName>
    <definedName name="hhgr18">'[1]Economic assumptions'!$O$29</definedName>
    <definedName name="hhgr19">'[1]Economic assumptions'!$P$29</definedName>
    <definedName name="hhgr20">'[1]Economic assumptions'!$Q$29</definedName>
    <definedName name="hhgr21">'[1]Economic assumptions'!$R$29</definedName>
    <definedName name="incentive">'[1]Economic assumptions'!#REF!</definedName>
    <definedName name="infra">#REF!</definedName>
    <definedName name="Infrarenewal">#REF!</definedName>
    <definedName name="infrastratnum">#REF!</definedName>
    <definedName name="inventory">'[1]Economic assumptions'!#REF!</definedName>
    <definedName name="longterm">'[1]Economic assumptions'!#REF!</definedName>
    <definedName name="MEAB1">[1]Names!$B$269</definedName>
    <definedName name="MEAB10">[1]Names!$B$280</definedName>
    <definedName name="MEAB11">[1]Names!$B$276</definedName>
    <definedName name="MEAB2">[1]Names!$B$270</definedName>
    <definedName name="MEAB3">[1]Names!$B$271</definedName>
    <definedName name="MEAB4">[1]Names!$B$272</definedName>
    <definedName name="MEAB5">[1]Names!$B$275</definedName>
    <definedName name="MEAB6">[1]Names!$B$273</definedName>
    <definedName name="MEAB7">[1]Names!$B$274</definedName>
    <definedName name="MEAB8">[1]Names!$B$277</definedName>
    <definedName name="MEAB9">[1]Names!$B$278</definedName>
    <definedName name="MEABsum">[1]Names!$B$268</definedName>
    <definedName name="MEB1A">[1]Names!$B$252</definedName>
    <definedName name="MEBsum">[1]Names!$B$250</definedName>
    <definedName name="MERsum">[1]Names!$B$282</definedName>
    <definedName name="month">[3]Data!$B$1</definedName>
    <definedName name="muni">[1]Names!$B$93</definedName>
    <definedName name="munishort">[1]Names!$B$94</definedName>
    <definedName name="nersa07">'[1]Economic assumptions'!#REF!</definedName>
    <definedName name="nersa08">'[1]Economic assumptions'!#REF!</definedName>
    <definedName name="nethhgr05">'[1]Economic assumptions'!#REF!</definedName>
    <definedName name="nethhgr06">'[1]Economic assumptions'!$C$30</definedName>
    <definedName name="nethhgr07">'[1]Economic assumptions'!$D$30</definedName>
    <definedName name="nethhgr08">'[1]Economic assumptions'!$E$30</definedName>
    <definedName name="nethhgr09">'[1]Economic assumptions'!$F$30</definedName>
    <definedName name="nethhgr10">'[1]Economic assumptions'!$G$30</definedName>
    <definedName name="nethhgr11">'[1]Economic assumptions'!$H$30</definedName>
    <definedName name="nethhgr12">'[1]Economic assumptions'!$I$30</definedName>
    <definedName name="nethhgr13">'[1]Economic assumptions'!$J$30</definedName>
    <definedName name="nethhgr14">'[1]Economic assumptions'!$K$30</definedName>
    <definedName name="nethhgr15">'[1]Economic assumptions'!$L$30</definedName>
    <definedName name="nethhgr16">'[1]Economic assumptions'!$M$30</definedName>
    <definedName name="nethhgr17">'[1]Economic assumptions'!$N$30</definedName>
    <definedName name="nethhgr18">'[1]Economic assumptions'!$O$30</definedName>
    <definedName name="nethhgr19">'[1]Economic assumptions'!$P$30</definedName>
    <definedName name="nethhgr20">'[1]Economic assumptions'!$Q$30</definedName>
    <definedName name="nethhgr21">'[1]Economic assumptions'!$R$30</definedName>
    <definedName name="newTable25">[1]Names!$B$142</definedName>
    <definedName name="ninety">[1]s71TabB3!$N$15</definedName>
    <definedName name="Note20">[4]Names!$B$89</definedName>
    <definedName name="poorgr06">'[1]Economic assumptions'!$C$31</definedName>
    <definedName name="_xlnm.Print_Area" localSheetId="2">Capital!$A$1:$K$244</definedName>
    <definedName name="_xlnm.Print_Area" localSheetId="1">FinPerform!$A$1:$X$319</definedName>
    <definedName name="_xlnm.Print_Area" localSheetId="4">Misc!$A$1:$L$211</definedName>
    <definedName name="proptax07">'[1]Economic assumptions'!$D$21</definedName>
    <definedName name="Rand000">'[1]Economic assumptions'!#REF!</definedName>
    <definedName name="RandM">[1]Names!$B$70</definedName>
    <definedName name="Rates1">[1]Names!$B$122</definedName>
    <definedName name="Rates2">[1]Names!$B$123</definedName>
    <definedName name="Rates3">[1]Names!$B$124</definedName>
    <definedName name="REDHHGR06">'[1]Economic assumptions'!#REF!</definedName>
    <definedName name="redhhgr07">'[1]Economic assumptions'!#REF!</definedName>
    <definedName name="redrev06">'[1]Economic assumptions'!#REF!</definedName>
    <definedName name="redrev07">'[1]Economic assumptions'!#REF!</definedName>
    <definedName name="Reds">'[1]Economic assumptions'!#REF!</definedName>
    <definedName name="renewyears">#REF!</definedName>
    <definedName name="Request0506">#REF!</definedName>
    <definedName name="resiprop">'[1]Economic assumptions'!$C$32</definedName>
    <definedName name="result">[1]Names!$B$35</definedName>
    <definedName name="rmcRED06">'[1]Economic assumptions'!#REF!</definedName>
    <definedName name="rmcred07">'[1]Economic assumptions'!#REF!</definedName>
    <definedName name="roundfactor">#REF!</definedName>
    <definedName name="S71A">[1]Names!$B$221</definedName>
    <definedName name="S71B">[1]Names!$B$222</definedName>
    <definedName name="s71B8">[1]Names!$B$236</definedName>
    <definedName name="s71B9">[1]Names!$B$237</definedName>
    <definedName name="S71C">[1]Names!$B$223</definedName>
    <definedName name="S71D">[1]Names!$B$224</definedName>
    <definedName name="S71E">[1]Names!$B$225</definedName>
    <definedName name="S71F">[1]Names!$B$226</definedName>
    <definedName name="S71G">[1]Names!$B$227</definedName>
    <definedName name="S71H">[1]Names!$B$228</definedName>
    <definedName name="S71I">[1]Names!$B$229</definedName>
    <definedName name="S71J">[1]Names!$B$231</definedName>
    <definedName name="S71K">[1]Names!$B$233</definedName>
    <definedName name="S71L">[1]Names!$B$234</definedName>
    <definedName name="S71M">[1]Names!$B$235</definedName>
    <definedName name="S71N">[1]Names!$B$238</definedName>
    <definedName name="S71O">[1]Names!$B$239</definedName>
    <definedName name="S71P">[1]Names!$B$240</definedName>
    <definedName name="S71Q">[1]Names!$B$241</definedName>
    <definedName name="S71SDBIP">[1]Names!$B$230</definedName>
    <definedName name="s71sum">[1]Names!$B$220</definedName>
    <definedName name="Scale">[1]Names!$S$174</definedName>
    <definedName name="scenario">#REF!</definedName>
    <definedName name="Sch1a">[1]Names!$B$100</definedName>
    <definedName name="Sch2N">[1]Names!$B$112</definedName>
    <definedName name="Sch5N">[1]Names!$B$114</definedName>
    <definedName name="Sch7N">[1]Names!$B$119</definedName>
    <definedName name="SDBIP1">[1]Names!$B$208</definedName>
    <definedName name="SDBIP10">[1]Names!$B$218</definedName>
    <definedName name="SDBIP2">[1]Names!$B$209</definedName>
    <definedName name="SDBIP3">[1]Names!$B$210</definedName>
    <definedName name="SDBIP4">[1]Names!$B$211</definedName>
    <definedName name="SDBIP8">[1]Names!$B$218</definedName>
    <definedName name="sdcred06">'[1]Economic assumptions'!$C$10</definedName>
    <definedName name="SFPerf1">[1]Names!$B$64</definedName>
    <definedName name="SFPerf2">[1]Names!$B$65</definedName>
    <definedName name="SFpos1">[1]Names!$B$66</definedName>
    <definedName name="SFpos2">[1]Names!$B$67</definedName>
    <definedName name="TabC3">[1]Names!$B$191</definedName>
    <definedName name="TabC4">[1]Names!$B$192</definedName>
    <definedName name="TabC5">[1]Names!$B$193</definedName>
    <definedName name="TabC6">[1]Names!$B$194</definedName>
    <definedName name="Tabc7">[1]Names!$B$195</definedName>
    <definedName name="Tabc8">[1]Names!$B$196</definedName>
    <definedName name="Tabc9">[1]Names!$B$197</definedName>
    <definedName name="Tablc8">[1]Names!$B$196</definedName>
    <definedName name="Table1">[1]Names!$B$121</definedName>
    <definedName name="Table10">[1]Names!#REF!</definedName>
    <definedName name="Table11">[1]Names!$B$129</definedName>
    <definedName name="Table12">[1]Names!$B$130</definedName>
    <definedName name="Table13">[1]Names!$B$141</definedName>
    <definedName name="Table14">[1]Names!$B$136</definedName>
    <definedName name="Table14A">[1]Names!$B$137</definedName>
    <definedName name="Table14B">[1]Names!$B$138</definedName>
    <definedName name="Table15">[1]Names!$B$139</definedName>
    <definedName name="Table15A">[1]Names!$B$132</definedName>
    <definedName name="Table15New">[1]Names!$B$131</definedName>
    <definedName name="Table16">[1]Names!$B$144</definedName>
    <definedName name="Table17">[1]Names!$B$143</definedName>
    <definedName name="Table18">[1]Names!$B$115</definedName>
    <definedName name="Table19">[1]Names!$B$116</definedName>
    <definedName name="Table2">[1]Names!$B$119</definedName>
    <definedName name="Table20">[1]Names!$B$117</definedName>
    <definedName name="Table21">[1]Names!$B$126</definedName>
    <definedName name="Table22">[1]Names!$B$127</definedName>
    <definedName name="Table23">[1]Names!$B$128</definedName>
    <definedName name="Table24">[1]Names!$B$134</definedName>
    <definedName name="Table24A">[1]Names!$B$140</definedName>
    <definedName name="Table25">[1]Names!$B$133</definedName>
    <definedName name="Table26">[1]Names!$B$135</definedName>
    <definedName name="Table27">[1]Names!#REF!</definedName>
    <definedName name="Table28">[1]Names!#REF!</definedName>
    <definedName name="Table29">[1]Names!#REF!</definedName>
    <definedName name="Table3">[1]Names!#REF!</definedName>
    <definedName name="Table30">[1]Names!#REF!</definedName>
    <definedName name="Table31">[1]Names!$B$147</definedName>
    <definedName name="Table32">[1]Names!$B$148</definedName>
    <definedName name="Table33">[1]Names!$B$146</definedName>
    <definedName name="Table4">[1]Names!$B$118</definedName>
    <definedName name="Table5">[1]Names!$B$120</definedName>
    <definedName name="Table6">[1]Names!$B$112</definedName>
    <definedName name="Table7">[1]Names!$B$114</definedName>
    <definedName name="Table8">[1]Names!$B$145</definedName>
    <definedName name="Table9">[1]Names!$B$113</definedName>
    <definedName name="TableD7">[1]Names!$B$263</definedName>
    <definedName name="TableD8">[1]Names!$B$264</definedName>
    <definedName name="TableE4">[1]Names!$B$290</definedName>
    <definedName name="TableE7">[1]Names!$B$295</definedName>
    <definedName name="TableE9">[1]Names!#REF!</definedName>
    <definedName name="TableF6">[1]Names!$B$279</definedName>
    <definedName name="tariffdisc05">'[1]Economic assumptions'!#REF!</definedName>
    <definedName name="tariffdisc06">'[1]Economic assumptions'!$C$18</definedName>
    <definedName name="tariffdisc07">'[1]Economic assumptions'!$D$18</definedName>
    <definedName name="tariffdisc08">'[1]Economic assumptions'!$E$18</definedName>
    <definedName name="tariffdisc09">'[1]Economic assumptions'!$F$18</definedName>
    <definedName name="tariffdisc10">'[1]Economic assumptions'!$G$18</definedName>
    <definedName name="tariffdisc11">'[1]Economic assumptions'!$H$18</definedName>
    <definedName name="tariffdisc12">'[1]Economic assumptions'!$I$18</definedName>
    <definedName name="tariffdisc13">'[1]Economic assumptions'!$J$18</definedName>
    <definedName name="tariffdisc14">'[1]Economic assumptions'!$K$18</definedName>
    <definedName name="tariffdisc15">'[1]Economic assumptions'!$L$18</definedName>
    <definedName name="tariffdisc16">'[1]Economic assumptions'!$M$18</definedName>
    <definedName name="tariffdisc17">'[1]Economic assumptions'!$N$18</definedName>
    <definedName name="tariffdisc18">'[1]Economic assumptions'!$O$18</definedName>
    <definedName name="tariffdisc19">'[1]Economic assumptions'!$P$18</definedName>
    <definedName name="tariffdisc20">'[1]Economic assumptions'!$Q$18</definedName>
    <definedName name="title1">#REF!</definedName>
    <definedName name="Vdesc">[1]Names!$B$32</definedName>
    <definedName name="yrend">[3]Data!$B$3</definedName>
  </definedNames>
  <calcPr calcId="152511"/>
</workbook>
</file>

<file path=xl/calcChain.xml><?xml version="1.0" encoding="utf-8"?>
<calcChain xmlns="http://schemas.openxmlformats.org/spreadsheetml/2006/main">
  <c r="H71" i="6" l="1"/>
  <c r="G71" i="6"/>
  <c r="F71" i="6"/>
  <c r="H2" i="6"/>
  <c r="H3" i="6"/>
  <c r="G4" i="6"/>
  <c r="H4" i="6" s="1"/>
  <c r="G3" i="6"/>
  <c r="G2" i="6"/>
  <c r="H215" i="4"/>
  <c r="G215" i="4"/>
  <c r="H214" i="4"/>
  <c r="G214" i="4"/>
  <c r="H216" i="4"/>
  <c r="G216" i="4"/>
  <c r="I61" i="4"/>
  <c r="E61" i="4"/>
  <c r="D61" i="4"/>
  <c r="D59" i="4"/>
  <c r="C64" i="4"/>
  <c r="K16" i="4"/>
  <c r="J16" i="4"/>
  <c r="H12" i="4"/>
  <c r="H7" i="4"/>
  <c r="G7" i="4"/>
  <c r="G12" i="4"/>
  <c r="E16" i="4"/>
  <c r="D5" i="4"/>
  <c r="K269" i="2"/>
  <c r="J269" i="2"/>
  <c r="I269" i="2"/>
  <c r="E269" i="2"/>
  <c r="K268" i="2"/>
  <c r="J268" i="2"/>
  <c r="I268" i="2"/>
  <c r="E268" i="2"/>
  <c r="D269" i="2"/>
  <c r="C269" i="2"/>
  <c r="B269" i="2"/>
  <c r="D268" i="2"/>
  <c r="C268" i="2"/>
  <c r="B268" i="2"/>
  <c r="E221" i="2"/>
  <c r="I221" i="2"/>
  <c r="J221" i="2"/>
  <c r="K221" i="2"/>
  <c r="D214" i="2"/>
  <c r="C214" i="2"/>
  <c r="B214" i="2"/>
  <c r="K180" i="2"/>
  <c r="J180" i="2"/>
  <c r="I180" i="2"/>
  <c r="E180" i="2"/>
  <c r="K175" i="2"/>
  <c r="J175" i="2"/>
  <c r="I175" i="2"/>
  <c r="E175" i="2"/>
  <c r="D180" i="2"/>
  <c r="D179" i="2"/>
  <c r="C176" i="2"/>
  <c r="B176" i="2"/>
  <c r="D175" i="2"/>
  <c r="C175" i="2"/>
  <c r="B175" i="2"/>
  <c r="D174" i="2"/>
  <c r="K140" i="2"/>
  <c r="J140" i="2"/>
  <c r="I140" i="2"/>
  <c r="E141" i="2"/>
  <c r="H144" i="2"/>
  <c r="D141" i="2"/>
  <c r="D142" i="2"/>
  <c r="C142" i="2"/>
  <c r="B142" i="2"/>
  <c r="C141" i="2"/>
  <c r="B141" i="2"/>
  <c r="I81" i="2"/>
  <c r="K81" i="2"/>
  <c r="J81" i="2"/>
  <c r="E83" i="2"/>
  <c r="E85" i="2"/>
  <c r="D83" i="2"/>
  <c r="K13" i="2"/>
  <c r="J13" i="2"/>
  <c r="I13" i="2"/>
  <c r="H18" i="2"/>
  <c r="G61" i="4" l="1"/>
  <c r="H61" i="4" s="1"/>
  <c r="G59" i="4"/>
  <c r="H59" i="4" s="1"/>
  <c r="G16" i="4"/>
  <c r="H16" i="4" s="1"/>
  <c r="G13" i="4"/>
  <c r="G8" i="4"/>
  <c r="G5" i="4"/>
  <c r="H5" i="4" s="1"/>
  <c r="G264" i="2" l="1"/>
  <c r="H264" i="2" s="1"/>
  <c r="G265" i="2"/>
  <c r="H265" i="2" s="1"/>
  <c r="G266" i="2"/>
  <c r="H266" i="2" s="1"/>
  <c r="G267" i="2"/>
  <c r="H267" i="2"/>
  <c r="G268" i="2"/>
  <c r="H268" i="2" s="1"/>
  <c r="G269" i="2"/>
  <c r="H269" i="2" s="1"/>
  <c r="G270" i="2"/>
  <c r="H270" i="2" s="1"/>
  <c r="G271" i="2"/>
  <c r="H271" i="2" s="1"/>
  <c r="G272" i="2"/>
  <c r="H272" i="2" s="1"/>
  <c r="G273" i="2"/>
  <c r="H273" i="2" s="1"/>
  <c r="G274" i="2"/>
  <c r="H274" i="2" s="1"/>
  <c r="G275" i="2"/>
  <c r="H275" i="2" s="1"/>
  <c r="G276" i="2"/>
  <c r="H276" i="2" s="1"/>
  <c r="G277" i="2"/>
  <c r="H277" i="2" s="1"/>
  <c r="G263" i="2"/>
  <c r="H263" i="2"/>
  <c r="K214" i="2"/>
  <c r="J214" i="2"/>
  <c r="I214" i="2"/>
  <c r="E214" i="2"/>
  <c r="G219" i="2"/>
  <c r="H219" i="2" s="1"/>
  <c r="G209" i="2"/>
  <c r="H209" i="2" s="1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 s="1"/>
  <c r="G217" i="2"/>
  <c r="H217" i="2" s="1"/>
  <c r="G218" i="2"/>
  <c r="H218" i="2" s="1"/>
  <c r="G220" i="2"/>
  <c r="H220" i="2" s="1"/>
  <c r="G221" i="2"/>
  <c r="H221" i="2" s="1"/>
  <c r="G222" i="2"/>
  <c r="H222" i="2" s="1"/>
  <c r="G208" i="2"/>
  <c r="H208" i="2" s="1"/>
  <c r="G179" i="2"/>
  <c r="H179" i="2" s="1"/>
  <c r="G175" i="2"/>
  <c r="H175" i="2" s="1"/>
  <c r="G174" i="2"/>
  <c r="H174" i="2" s="1"/>
  <c r="G176" i="2"/>
  <c r="H176" i="2" s="1"/>
  <c r="G177" i="2"/>
  <c r="H177" i="2" s="1"/>
  <c r="G178" i="2"/>
  <c r="H178" i="2" s="1"/>
  <c r="G180" i="2"/>
  <c r="H180" i="2" s="1"/>
  <c r="K142" i="2"/>
  <c r="J142" i="2"/>
  <c r="G142" i="2"/>
  <c r="H142" i="2" s="1"/>
  <c r="K141" i="2"/>
  <c r="J141" i="2"/>
  <c r="I141" i="2"/>
  <c r="G141" i="2"/>
  <c r="H141" i="2" s="1"/>
  <c r="G143" i="2"/>
  <c r="H143" i="2" s="1"/>
  <c r="G144" i="2"/>
  <c r="G145" i="2"/>
  <c r="H145" i="2" s="1"/>
  <c r="G146" i="2"/>
  <c r="H146" i="2" s="1"/>
  <c r="G140" i="2"/>
  <c r="H140" i="2" s="1"/>
  <c r="I86" i="2" l="1"/>
  <c r="G83" i="2"/>
  <c r="H78" i="2"/>
  <c r="G85" i="2"/>
  <c r="H85" i="2" s="1"/>
  <c r="G84" i="2"/>
  <c r="H84" i="2" s="1"/>
  <c r="G82" i="2"/>
  <c r="H82" i="2" s="1"/>
  <c r="G81" i="2"/>
  <c r="H81" i="2" s="1"/>
  <c r="G80" i="2"/>
  <c r="H80" i="2" s="1"/>
  <c r="G79" i="2"/>
  <c r="H79" i="2" s="1"/>
  <c r="G77" i="2"/>
  <c r="H77" i="2" s="1"/>
  <c r="H5" i="2"/>
  <c r="G20" i="2"/>
  <c r="H20" i="2" s="1"/>
  <c r="G4" i="2"/>
  <c r="H4" i="2" s="1"/>
  <c r="G5" i="2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G18" i="2"/>
  <c r="G19" i="2"/>
  <c r="H19" i="2" s="1"/>
  <c r="G3" i="2"/>
  <c r="H3" i="2" s="1"/>
  <c r="F84" i="5"/>
  <c r="G84" i="5" s="1"/>
  <c r="G87" i="5" s="1"/>
  <c r="G10" i="5"/>
  <c r="G12" i="5" s="1"/>
  <c r="F8" i="4"/>
  <c r="F17" i="4" s="1"/>
  <c r="N268" i="2"/>
  <c r="U268" i="2"/>
  <c r="J181" i="2"/>
  <c r="K181" i="2" s="1"/>
  <c r="K49" i="5"/>
  <c r="R268" i="2"/>
  <c r="K267" i="2"/>
  <c r="J267" i="2"/>
  <c r="J266" i="2"/>
  <c r="K266" i="2" s="1"/>
  <c r="J264" i="2"/>
  <c r="K264" i="2" s="1"/>
  <c r="W268" i="2" s="1"/>
  <c r="Y215" i="2"/>
  <c r="K173" i="2"/>
  <c r="F173" i="2"/>
  <c r="K143" i="2"/>
  <c r="K139" i="2" s="1"/>
  <c r="J78" i="2"/>
  <c r="K78" i="2"/>
  <c r="E86" i="2"/>
  <c r="J8" i="2"/>
  <c r="J21" i="2" s="1"/>
  <c r="J10" i="2"/>
  <c r="K10" i="2" s="1"/>
  <c r="C86" i="2"/>
  <c r="B12" i="5"/>
  <c r="C12" i="5"/>
  <c r="D12" i="5"/>
  <c r="E12" i="5"/>
  <c r="F12" i="5"/>
  <c r="H12" i="5"/>
  <c r="I12" i="5"/>
  <c r="J12" i="5"/>
  <c r="K12" i="5"/>
  <c r="B49" i="5"/>
  <c r="C49" i="5"/>
  <c r="D49" i="5"/>
  <c r="E49" i="5"/>
  <c r="F49" i="5"/>
  <c r="G49" i="5"/>
  <c r="I49" i="5"/>
  <c r="J49" i="5"/>
  <c r="B87" i="5"/>
  <c r="C87" i="5"/>
  <c r="D87" i="5"/>
  <c r="E87" i="5"/>
  <c r="F87" i="5"/>
  <c r="H87" i="5"/>
  <c r="I87" i="5"/>
  <c r="J87" i="5"/>
  <c r="K87" i="5"/>
  <c r="M3" i="4"/>
  <c r="N3" i="4"/>
  <c r="O3" i="4"/>
  <c r="P3" i="4"/>
  <c r="Q3" i="4"/>
  <c r="R3" i="4"/>
  <c r="S3" i="4"/>
  <c r="T3" i="4"/>
  <c r="U3" i="4"/>
  <c r="V3" i="4"/>
  <c r="B17" i="4"/>
  <c r="C17" i="4"/>
  <c r="D17" i="4"/>
  <c r="E17" i="4"/>
  <c r="G17" i="4"/>
  <c r="H17" i="4"/>
  <c r="I17" i="4"/>
  <c r="J17" i="4"/>
  <c r="K17" i="4"/>
  <c r="M59" i="4"/>
  <c r="H60" i="4"/>
  <c r="M60" i="4"/>
  <c r="M61" i="4"/>
  <c r="H62" i="4"/>
  <c r="M62" i="4"/>
  <c r="F63" i="4"/>
  <c r="G63" i="4"/>
  <c r="H63" i="4"/>
  <c r="M63" i="4"/>
  <c r="F64" i="4"/>
  <c r="G64" i="4"/>
  <c r="H64" i="4"/>
  <c r="M64" i="4"/>
  <c r="F65" i="4"/>
  <c r="G65" i="4"/>
  <c r="H65" i="4"/>
  <c r="M65" i="4"/>
  <c r="B66" i="4"/>
  <c r="C66" i="4"/>
  <c r="D66" i="4"/>
  <c r="E66" i="4"/>
  <c r="F66" i="4"/>
  <c r="G66" i="4"/>
  <c r="H66" i="4"/>
  <c r="I66" i="4"/>
  <c r="J66" i="4"/>
  <c r="K66" i="4"/>
  <c r="B217" i="4"/>
  <c r="C217" i="4"/>
  <c r="D217" i="4"/>
  <c r="E217" i="4"/>
  <c r="F217" i="4"/>
  <c r="G217" i="4"/>
  <c r="H217" i="4"/>
  <c r="I217" i="4"/>
  <c r="J217" i="4"/>
  <c r="K217" i="4"/>
  <c r="B21" i="2"/>
  <c r="C21" i="2"/>
  <c r="D21" i="2"/>
  <c r="E21" i="2"/>
  <c r="F21" i="2"/>
  <c r="I21" i="2"/>
  <c r="B86" i="2"/>
  <c r="D86" i="2"/>
  <c r="F86" i="2"/>
  <c r="J86" i="2"/>
  <c r="B139" i="2"/>
  <c r="C139" i="2"/>
  <c r="D139" i="2"/>
  <c r="E139" i="2"/>
  <c r="F139" i="2"/>
  <c r="G139" i="2"/>
  <c r="H139" i="2"/>
  <c r="I139" i="2"/>
  <c r="B173" i="2"/>
  <c r="C173" i="2"/>
  <c r="D173" i="2"/>
  <c r="E173" i="2"/>
  <c r="I173" i="2"/>
  <c r="P215" i="2"/>
  <c r="Q215" i="2"/>
  <c r="R215" i="2"/>
  <c r="S215" i="2"/>
  <c r="T215" i="2"/>
  <c r="U215" i="2"/>
  <c r="V215" i="2"/>
  <c r="W215" i="2"/>
  <c r="O268" i="2"/>
  <c r="P268" i="2"/>
  <c r="Q268" i="2"/>
  <c r="S268" i="2"/>
  <c r="T268" i="2"/>
  <c r="X268" i="2"/>
  <c r="A13" i="7"/>
  <c r="A14" i="7"/>
  <c r="A15" i="7"/>
  <c r="A16" i="7"/>
  <c r="A19" i="7"/>
  <c r="A20" i="7"/>
  <c r="A21" i="7"/>
  <c r="A24" i="7"/>
  <c r="A25" i="7"/>
  <c r="A27" i="7"/>
  <c r="A28" i="7"/>
  <c r="A29" i="7"/>
  <c r="J173" i="2"/>
  <c r="J139" i="2"/>
  <c r="G173" i="2"/>
  <c r="H173" i="2" s="1"/>
  <c r="X215" i="2"/>
  <c r="V268" i="2" l="1"/>
  <c r="K8" i="2"/>
  <c r="H21" i="2"/>
  <c r="G86" i="2"/>
  <c r="H83" i="2"/>
  <c r="H86" i="2" s="1"/>
  <c r="K86" i="2"/>
  <c r="K21" i="2"/>
  <c r="G21" i="2"/>
</calcChain>
</file>

<file path=xl/sharedStrings.xml><?xml version="1.0" encoding="utf-8"?>
<sst xmlns="http://schemas.openxmlformats.org/spreadsheetml/2006/main" count="233" uniqueCount="134">
  <si>
    <t>Increases in service charges</t>
  </si>
  <si>
    <t>Revenue by Major Source (refer 'Minor' source for 'Other Revenue' allocation</t>
  </si>
  <si>
    <t>Electricity</t>
  </si>
  <si>
    <t>O/S Debtors to Revenue</t>
  </si>
  <si>
    <t>Distribution losses</t>
  </si>
  <si>
    <t>IDP Strategic Objective - Capital Expenditure</t>
  </si>
  <si>
    <t>Capital Expenditure by Standard Classification</t>
  </si>
  <si>
    <t>Other objectives</t>
  </si>
  <si>
    <t>Housing</t>
  </si>
  <si>
    <t>Operating Expenditure by Major &amp; Minor Type</t>
  </si>
  <si>
    <t>Transfers recognised</t>
  </si>
  <si>
    <t>Service charges - water revenue</t>
  </si>
  <si>
    <t>Transfers recognised - capital</t>
  </si>
  <si>
    <t>Service charges - electricity revenue</t>
  </si>
  <si>
    <t>Property rates</t>
  </si>
  <si>
    <t>Other materials</t>
  </si>
  <si>
    <t>Loss on disposal of PPE</t>
  </si>
  <si>
    <t>Remuneration of councillors</t>
  </si>
  <si>
    <t>Grants and subsidies</t>
  </si>
  <si>
    <t>Debt impairment</t>
  </si>
  <si>
    <t>Contracted services</t>
  </si>
  <si>
    <t>Finance charges</t>
  </si>
  <si>
    <t>Depreciation &amp; asset impairment</t>
  </si>
  <si>
    <t>Other expenditure</t>
  </si>
  <si>
    <t>Bulk purchases</t>
  </si>
  <si>
    <t>Employee related costs</t>
  </si>
  <si>
    <t>check</t>
  </si>
  <si>
    <t>revenue check</t>
  </si>
  <si>
    <t>Service charges - sanitation revenue</t>
  </si>
  <si>
    <t>Service charges - refuse</t>
  </si>
  <si>
    <t>Service charges - other</t>
  </si>
  <si>
    <t>Rental of facilities and equipment</t>
  </si>
  <si>
    <t>Interest earned - external investments</t>
  </si>
  <si>
    <t>Interest earned - outstanding debtors</t>
  </si>
  <si>
    <t>Dividends received</t>
  </si>
  <si>
    <t>Fines</t>
  </si>
  <si>
    <t>Licences and permits</t>
  </si>
  <si>
    <t>Agency services</t>
  </si>
  <si>
    <t>Other revenue</t>
  </si>
  <si>
    <t>Gains on disposal of PPE</t>
  </si>
  <si>
    <t>Contributions</t>
  </si>
  <si>
    <t>Contributed assets</t>
  </si>
  <si>
    <t>Office of the City Manager</t>
  </si>
  <si>
    <t>Treasury</t>
  </si>
  <si>
    <t>Executive &amp; Council</t>
  </si>
  <si>
    <t>Corporate Services</t>
  </si>
  <si>
    <t>Planning &amp; Development</t>
  </si>
  <si>
    <t>Health</t>
  </si>
  <si>
    <t>Community &amp; Social Services</t>
  </si>
  <si>
    <t>Public Safety</t>
  </si>
  <si>
    <t>Sport and Recreation</t>
  </si>
  <si>
    <t>Environmental Protection</t>
  </si>
  <si>
    <t>Waste Management</t>
  </si>
  <si>
    <t>Waste Water Management</t>
  </si>
  <si>
    <t>Road Transport</t>
  </si>
  <si>
    <t>Water</t>
  </si>
  <si>
    <t>Budget &amp; Treasury Office</t>
  </si>
  <si>
    <t>Revenue by Standard Classification</t>
  </si>
  <si>
    <t>Expenditure by Standard Classification</t>
  </si>
  <si>
    <t>Revenue by municipal vote classification</t>
  </si>
  <si>
    <t>Expenditure by municipal vote classification</t>
  </si>
  <si>
    <t>Procurement &amp; Infra.</t>
  </si>
  <si>
    <t>Capital Expenditure by Municipal Vote</t>
  </si>
  <si>
    <t>Public contributions &amp; donations</t>
  </si>
  <si>
    <t>Borrowing</t>
  </si>
  <si>
    <t>Internally generated funds</t>
  </si>
  <si>
    <t>Capital transfers recognised</t>
  </si>
  <si>
    <t>IDP Strategic Objective - Revenue</t>
  </si>
  <si>
    <t>Sustaining the Natural and Built Environment</t>
  </si>
  <si>
    <t>Economic Development and Job Creation</t>
  </si>
  <si>
    <t>Quality Living Environment</t>
  </si>
  <si>
    <t>Safe, Healthy and Secure Environment</t>
  </si>
  <si>
    <t>Empowering our Citizens</t>
  </si>
  <si>
    <t>Embracing our Cultural Diversity</t>
  </si>
  <si>
    <t>Good Governance</t>
  </si>
  <si>
    <t>Financial Viability and Sustainability</t>
  </si>
  <si>
    <t>Operations and Support Services</t>
  </si>
  <si>
    <t>IDP Strategic Objective - Expenditure</t>
  </si>
  <si>
    <t>Cash Flow - Op. Activities</t>
  </si>
  <si>
    <t>Cash Flow - Investing (used)</t>
  </si>
  <si>
    <t>Cash Flow - Financing</t>
  </si>
  <si>
    <t>Cash flow trend</t>
  </si>
  <si>
    <t>% incr total service charges (incl prop rates)</t>
  </si>
  <si>
    <t>% incr Property Tax</t>
  </si>
  <si>
    <t>% incr Service charges - electricity revenue</t>
  </si>
  <si>
    <t>% incr Service charges - water revenue</t>
  </si>
  <si>
    <t>% incr Service charges - sanitation revenue</t>
  </si>
  <si>
    <t>% incr Service charges - refuse</t>
  </si>
  <si>
    <t>% incr in Service charges - other</t>
  </si>
  <si>
    <t>Need to define base in 'guidelines'</t>
  </si>
  <si>
    <t>Debt</t>
  </si>
  <si>
    <t>Annual Debtors Collection</t>
  </si>
  <si>
    <t>Borrowed capex funding</t>
  </si>
  <si>
    <t>Expenditure analysis</t>
  </si>
  <si>
    <t>Employee costs</t>
  </si>
  <si>
    <t>Repairs &amp; Maintenance</t>
  </si>
  <si>
    <t>Finance charges &amp; Depreciation</t>
  </si>
  <si>
    <t>Revenue by Major Source</t>
  </si>
  <si>
    <t>Revenue by Minor Source</t>
  </si>
  <si>
    <t>Operating Expenditure by Minor Type</t>
  </si>
  <si>
    <t>Operating Expenditure by Major Type</t>
  </si>
  <si>
    <t>Financial Performance</t>
  </si>
  <si>
    <t>Capital expenditure</t>
  </si>
  <si>
    <t>Capital funding by source</t>
  </si>
  <si>
    <t>IDP</t>
  </si>
  <si>
    <t>Miscellaneous</t>
  </si>
  <si>
    <t>Revenue collection rates</t>
  </si>
  <si>
    <t>Expenditure analysis (Employee costs)</t>
  </si>
  <si>
    <t>Expenditure analysis (Remuneration)</t>
  </si>
  <si>
    <t>Expenditure analysis (Repairs &amp; Maintenance)</t>
  </si>
  <si>
    <t>Expenditure analysis (Finance Charges)</t>
  </si>
  <si>
    <t>Expenditure analysis (Depreciation)</t>
  </si>
  <si>
    <t>MUNICIPAL BUDGET:</t>
  </si>
  <si>
    <t>Executive and Council</t>
  </si>
  <si>
    <t>Finance and Admininstartion</t>
  </si>
  <si>
    <t>Community Services</t>
  </si>
  <si>
    <t>Sports and Recreation</t>
  </si>
  <si>
    <t>Planning and Development</t>
  </si>
  <si>
    <t>Public Services</t>
  </si>
  <si>
    <t>Governance and administration</t>
  </si>
  <si>
    <t>Community and public safety</t>
  </si>
  <si>
    <t>Trading services</t>
  </si>
  <si>
    <t>10/11 AUD</t>
  </si>
  <si>
    <t>Roads</t>
  </si>
  <si>
    <t>Storm water drainage</t>
  </si>
  <si>
    <t>11/12 AUD</t>
  </si>
  <si>
    <t xml:space="preserve"> 12/13 AUD</t>
  </si>
  <si>
    <t xml:space="preserve"> 13/14 BUD</t>
  </si>
  <si>
    <t xml:space="preserve">  13/14 ADJ</t>
  </si>
  <si>
    <t xml:space="preserve"> 13/14 FCST</t>
  </si>
  <si>
    <t>13/14 ACT</t>
  </si>
  <si>
    <t>Budget Year 14/15</t>
  </si>
  <si>
    <t>Budget Year +1 15/16</t>
  </si>
  <si>
    <t>Budget Year +2 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</si>
</sst>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#,;\(#,###,\)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66" fontId="2" fillId="0" borderId="0" xfId="1" applyNumberFormat="1" applyFont="1"/>
    <xf numFmtId="0" fontId="4" fillId="0" borderId="0" xfId="0" applyFont="1"/>
    <xf numFmtId="0" fontId="6" fillId="0" borderId="0" xfId="0" applyFont="1" applyAlignment="1">
      <alignment horizontal="right"/>
    </xf>
    <xf numFmtId="166" fontId="2" fillId="0" borderId="0" xfId="1" applyNumberFormat="1" applyFont="1" applyBorder="1"/>
    <xf numFmtId="166" fontId="4" fillId="0" borderId="0" xfId="1" applyNumberFormat="1" applyFont="1"/>
    <xf numFmtId="166" fontId="4" fillId="0" borderId="1" xfId="1" applyNumberFormat="1" applyFont="1" applyBorder="1"/>
    <xf numFmtId="0" fontId="3" fillId="0" borderId="0" xfId="0" applyFont="1"/>
    <xf numFmtId="0" fontId="4" fillId="0" borderId="0" xfId="0" applyFont="1" applyAlignment="1">
      <alignment vertical="top" wrapText="1"/>
    </xf>
    <xf numFmtId="166" fontId="3" fillId="0" borderId="0" xfId="0" applyNumberFormat="1" applyFont="1"/>
    <xf numFmtId="166" fontId="3" fillId="0" borderId="1" xfId="0" applyNumberFormat="1" applyFont="1" applyBorder="1"/>
    <xf numFmtId="166" fontId="4" fillId="0" borderId="1" xfId="0" applyNumberFormat="1" applyFont="1" applyBorder="1"/>
    <xf numFmtId="166" fontId="2" fillId="2" borderId="0" xfId="1" applyNumberFormat="1" applyFont="1" applyFill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2" xfId="0" applyFont="1" applyFill="1" applyBorder="1"/>
    <xf numFmtId="166" fontId="2" fillId="2" borderId="2" xfId="1" applyNumberFormat="1" applyFont="1" applyFill="1" applyBorder="1"/>
    <xf numFmtId="0" fontId="3" fillId="0" borderId="0" xfId="0" applyFont="1" applyFill="1"/>
    <xf numFmtId="0" fontId="3" fillId="2" borderId="2" xfId="0" applyFont="1" applyFill="1" applyBorder="1"/>
    <xf numFmtId="166" fontId="4" fillId="0" borderId="1" xfId="1" applyNumberFormat="1" applyFont="1" applyFill="1" applyBorder="1"/>
    <xf numFmtId="0" fontId="6" fillId="0" borderId="0" xfId="0" applyFont="1" applyFill="1" applyAlignment="1">
      <alignment horizontal="right"/>
    </xf>
    <xf numFmtId="0" fontId="3" fillId="0" borderId="3" xfId="0" applyFont="1" applyFill="1" applyBorder="1"/>
    <xf numFmtId="9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/>
    <xf numFmtId="0" fontId="5" fillId="4" borderId="0" xfId="0" applyFont="1" applyFill="1"/>
    <xf numFmtId="166" fontId="2" fillId="2" borderId="0" xfId="1" applyNumberFormat="1" applyFont="1" applyFill="1" applyProtection="1">
      <protection locked="0"/>
    </xf>
    <xf numFmtId="166" fontId="2" fillId="2" borderId="0" xfId="1" applyNumberFormat="1" applyFont="1" applyFill="1" applyBorder="1" applyProtection="1">
      <protection locked="0"/>
    </xf>
    <xf numFmtId="166" fontId="2" fillId="2" borderId="2" xfId="1" applyNumberFormat="1" applyFont="1" applyFill="1" applyBorder="1" applyProtection="1">
      <protection locked="0"/>
    </xf>
    <xf numFmtId="166" fontId="2" fillId="0" borderId="3" xfId="1" applyNumberFormat="1" applyFont="1" applyFill="1" applyBorder="1" applyProtection="1">
      <protection locked="0"/>
    </xf>
    <xf numFmtId="165" fontId="3" fillId="0" borderId="0" xfId="2" applyNumberFormat="1" applyFont="1" applyAlignment="1" applyProtection="1">
      <alignment horizontal="center"/>
      <protection locked="0"/>
    </xf>
    <xf numFmtId="9" fontId="3" fillId="0" borderId="0" xfId="2" applyFont="1" applyAlignment="1" applyProtection="1">
      <alignment horizontal="center"/>
      <protection locked="0"/>
    </xf>
    <xf numFmtId="166" fontId="2" fillId="0" borderId="0" xfId="0" applyNumberFormat="1" applyFont="1"/>
    <xf numFmtId="10" fontId="3" fillId="0" borderId="0" xfId="0" applyNumberFormat="1" applyFont="1" applyAlignment="1" applyProtection="1">
      <alignment horizontal="center"/>
      <protection locked="0"/>
    </xf>
    <xf numFmtId="10" fontId="3" fillId="0" borderId="0" xfId="0" applyNumberFormat="1" applyFont="1" applyProtection="1">
      <protection locked="0"/>
    </xf>
    <xf numFmtId="9" fontId="3" fillId="0" borderId="0" xfId="0" applyNumberFormat="1" applyFont="1" applyProtection="1">
      <protection locked="0"/>
    </xf>
    <xf numFmtId="0" fontId="7" fillId="5" borderId="0" xfId="0" applyFont="1" applyFill="1"/>
    <xf numFmtId="0" fontId="2" fillId="5" borderId="0" xfId="0" applyFont="1" applyFill="1"/>
    <xf numFmtId="166" fontId="2" fillId="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Debt (borrowing) to Total Operating Revenue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8659793814433E-2"/>
          <c:y val="0"/>
          <c:w val="0.93814432989690721"/>
          <c:h val="0"/>
        </c:manualLayout>
      </c:layout>
      <c:lineChart>
        <c:grouping val="standard"/>
        <c:varyColors val="0"/>
        <c:ser>
          <c:idx val="0"/>
          <c:order val="0"/>
          <c:tx>
            <c:v>Capital budget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57344"/>
        <c:axId val="305457736"/>
      </c:lineChart>
      <c:catAx>
        <c:axId val="3054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5457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57736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5457344"/>
        <c:crosses val="autoZero"/>
        <c:crossBetween val="between"/>
        <c:majorUnit val="0.2"/>
        <c:minorUnit val="0.1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Major - Chart A7</a:t>
            </a:r>
          </a:p>
        </c:rich>
      </c:tx>
      <c:layout>
        <c:manualLayout>
          <c:xMode val="edge"/>
          <c:yMode val="edge"/>
          <c:x val="0.33055599300087485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88914508618854"/>
          <c:y val="6.3829870124810562E-2"/>
          <c:w val="0.80555664816168637"/>
          <c:h val="0.70478814929478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FinPerform!$A$82</c:f>
              <c:strCache>
                <c:ptCount val="1"/>
                <c:pt idx="0">
                  <c:v>Depreciation &amp; asset impairment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FinPerform!$B$82:$K$82</c:f>
              <c:numCache>
                <c:formatCode>#\ ###\ ;\(#\ ###\ \)</c:formatCode>
                <c:ptCount val="10"/>
                <c:pt idx="0">
                  <c:v>21603000</c:v>
                </c:pt>
                <c:pt idx="1">
                  <c:v>18528000</c:v>
                </c:pt>
                <c:pt idx="2">
                  <c:v>10172000</c:v>
                </c:pt>
                <c:pt idx="3">
                  <c:v>12000000</c:v>
                </c:pt>
                <c:pt idx="4">
                  <c:v>0</c:v>
                </c:pt>
                <c:pt idx="5">
                  <c:v>12000000</c:v>
                </c:pt>
                <c:pt idx="6">
                  <c:v>12000000</c:v>
                </c:pt>
                <c:pt idx="7">
                  <c:v>19947000</c:v>
                </c:pt>
                <c:pt idx="8">
                  <c:v>20945000</c:v>
                </c:pt>
                <c:pt idx="9">
                  <c:v>21992000</c:v>
                </c:pt>
              </c:numCache>
            </c:numRef>
          </c:val>
        </c:ser>
        <c:ser>
          <c:idx val="1"/>
          <c:order val="1"/>
          <c:tx>
            <c:strRef>
              <c:f>FinPerform!$A$83</c:f>
              <c:strCache>
                <c:ptCount val="1"/>
                <c:pt idx="0">
                  <c:v>Other expenditure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FinPerform!$B$83:$K$83</c:f>
              <c:numCache>
                <c:formatCode>#\ ###\ ;\(#\ ###\ \)</c:formatCode>
                <c:ptCount val="10"/>
                <c:pt idx="0">
                  <c:v>48174000</c:v>
                </c:pt>
                <c:pt idx="1">
                  <c:v>55915000</c:v>
                </c:pt>
                <c:pt idx="2">
                  <c:v>67963000</c:v>
                </c:pt>
                <c:pt idx="3">
                  <c:v>45251000</c:v>
                </c:pt>
                <c:pt idx="4">
                  <c:v>0</c:v>
                </c:pt>
                <c:pt idx="5">
                  <c:v>45251000</c:v>
                </c:pt>
                <c:pt idx="6">
                  <c:v>45251000</c:v>
                </c:pt>
                <c:pt idx="7">
                  <c:v>19849000</c:v>
                </c:pt>
                <c:pt idx="8">
                  <c:v>4863000</c:v>
                </c:pt>
                <c:pt idx="9">
                  <c:v>5106000</c:v>
                </c:pt>
              </c:numCache>
            </c:numRef>
          </c:val>
        </c:ser>
        <c:ser>
          <c:idx val="2"/>
          <c:order val="2"/>
          <c:tx>
            <c:strRef>
              <c:f>FinPerform!$A$84</c:f>
              <c:strCache>
                <c:ptCount val="1"/>
                <c:pt idx="0">
                  <c:v>Bulk purchases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FinPerform!$B$84:$K$84</c:f>
              <c:numCache>
                <c:formatCode>#\ ###\ ;\(#\ ###\ \)</c:formatCode>
                <c:ptCount val="10"/>
                <c:pt idx="0">
                  <c:v>24388000</c:v>
                </c:pt>
                <c:pt idx="1">
                  <c:v>34788000</c:v>
                </c:pt>
                <c:pt idx="2">
                  <c:v>39644000</c:v>
                </c:pt>
                <c:pt idx="3">
                  <c:v>40000000</c:v>
                </c:pt>
                <c:pt idx="4">
                  <c:v>0</c:v>
                </c:pt>
                <c:pt idx="5">
                  <c:v>40000000</c:v>
                </c:pt>
                <c:pt idx="6">
                  <c:v>40000000</c:v>
                </c:pt>
                <c:pt idx="7">
                  <c:v>36480000</c:v>
                </c:pt>
                <c:pt idx="8">
                  <c:v>39033000</c:v>
                </c:pt>
                <c:pt idx="9">
                  <c:v>41765000</c:v>
                </c:pt>
              </c:numCache>
            </c:numRef>
          </c:val>
        </c:ser>
        <c:ser>
          <c:idx val="3"/>
          <c:order val="3"/>
          <c:tx>
            <c:strRef>
              <c:f>FinPerform!$A$85</c:f>
              <c:strCache>
                <c:ptCount val="1"/>
                <c:pt idx="0">
                  <c:v>Employee related costs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FinPerform!$B$85:$K$85</c:f>
              <c:numCache>
                <c:formatCode>#\ ###\ ;\(#\ ###\ \)</c:formatCode>
                <c:ptCount val="10"/>
                <c:pt idx="0">
                  <c:v>32641000</c:v>
                </c:pt>
                <c:pt idx="1">
                  <c:v>42249000</c:v>
                </c:pt>
                <c:pt idx="2">
                  <c:v>54334000</c:v>
                </c:pt>
                <c:pt idx="3">
                  <c:v>78781000</c:v>
                </c:pt>
                <c:pt idx="4">
                  <c:v>0</c:v>
                </c:pt>
                <c:pt idx="5">
                  <c:v>78781000</c:v>
                </c:pt>
                <c:pt idx="6">
                  <c:v>78781000</c:v>
                </c:pt>
                <c:pt idx="7">
                  <c:v>81279000</c:v>
                </c:pt>
                <c:pt idx="8">
                  <c:v>81892000</c:v>
                </c:pt>
                <c:pt idx="9">
                  <c:v>75332000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097992"/>
        <c:axId val="223098384"/>
      </c:barChart>
      <c:catAx>
        <c:axId val="22309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098384"/>
        <c:crosses val="autoZero"/>
        <c:auto val="1"/>
        <c:lblAlgn val="ctr"/>
        <c:lblOffset val="100"/>
        <c:tickMarkSkip val="1"/>
        <c:noMultiLvlLbl val="0"/>
      </c:catAx>
      <c:valAx>
        <c:axId val="22309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3936175797174288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097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Major - Chart A7</a:t>
            </a:r>
          </a:p>
        </c:rich>
      </c:tx>
      <c:layout>
        <c:manualLayout>
          <c:xMode val="edge"/>
          <c:yMode val="edge"/>
          <c:x val="0.33102493074792244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50969529085873"/>
          <c:y val="1.5957446808510637E-2"/>
          <c:w val="0.84210526315789469"/>
          <c:h val="0.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FinPerform!$B$1</c:f>
              <c:strCache>
                <c:ptCount val="1"/>
                <c:pt idx="0">
                  <c:v>10/11 AUD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FinPerform!$B$82:$B$85</c:f>
              <c:numCache>
                <c:formatCode>#\ ###\ ;\(#\ ###\ \)</c:formatCode>
                <c:ptCount val="4"/>
                <c:pt idx="0">
                  <c:v>21603000</c:v>
                </c:pt>
                <c:pt idx="1">
                  <c:v>48174000</c:v>
                </c:pt>
                <c:pt idx="2">
                  <c:v>24388000</c:v>
                </c:pt>
                <c:pt idx="3">
                  <c:v>32641000</c:v>
                </c:pt>
              </c:numCache>
            </c:numRef>
          </c:val>
        </c:ser>
        <c:ser>
          <c:idx val="1"/>
          <c:order val="1"/>
          <c:tx>
            <c:strRef>
              <c:f>FinPerform!$C$1</c:f>
              <c:strCache>
                <c:ptCount val="1"/>
                <c:pt idx="0">
                  <c:v>11/12 AUD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FinPerform!$C$82:$C$85</c:f>
              <c:numCache>
                <c:formatCode>#\ ###\ ;\(#\ ###\ \)</c:formatCode>
                <c:ptCount val="4"/>
                <c:pt idx="0">
                  <c:v>18528000</c:v>
                </c:pt>
                <c:pt idx="1">
                  <c:v>55915000</c:v>
                </c:pt>
                <c:pt idx="2">
                  <c:v>34788000</c:v>
                </c:pt>
                <c:pt idx="3">
                  <c:v>42249000</c:v>
                </c:pt>
              </c:numCache>
            </c:numRef>
          </c:val>
        </c:ser>
        <c:ser>
          <c:idx val="2"/>
          <c:order val="2"/>
          <c:tx>
            <c:strRef>
              <c:f>FinPerform!$D$1</c:f>
              <c:strCache>
                <c:ptCount val="1"/>
                <c:pt idx="0">
                  <c:v> 12/13 AUD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FinPerform!$D$82:$D$85</c:f>
              <c:numCache>
                <c:formatCode>#\ ###\ ;\(#\ ###\ \)</c:formatCode>
                <c:ptCount val="4"/>
                <c:pt idx="0">
                  <c:v>10172000</c:v>
                </c:pt>
                <c:pt idx="1">
                  <c:v>67963000</c:v>
                </c:pt>
                <c:pt idx="2">
                  <c:v>39644000</c:v>
                </c:pt>
                <c:pt idx="3">
                  <c:v>54334000</c:v>
                </c:pt>
              </c:numCache>
            </c:numRef>
          </c:val>
        </c:ser>
        <c:ser>
          <c:idx val="3"/>
          <c:order val="3"/>
          <c:tx>
            <c:strRef>
              <c:f>FinPerform!$E$1</c:f>
              <c:strCache>
                <c:ptCount val="1"/>
                <c:pt idx="0">
                  <c:v> 13/14 BUD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FinPerform!$E$82:$E$85</c:f>
              <c:numCache>
                <c:formatCode>#\ ###\ ;\(#\ ###\ \)</c:formatCode>
                <c:ptCount val="4"/>
                <c:pt idx="0">
                  <c:v>12000000</c:v>
                </c:pt>
                <c:pt idx="1">
                  <c:v>45251000</c:v>
                </c:pt>
                <c:pt idx="2">
                  <c:v>40000000</c:v>
                </c:pt>
                <c:pt idx="3">
                  <c:v>78781000</c:v>
                </c:pt>
              </c:numCache>
            </c:numRef>
          </c:val>
        </c:ser>
        <c:ser>
          <c:idx val="4"/>
          <c:order val="4"/>
          <c:tx>
            <c:strRef>
              <c:f>FinPerform!$F$1</c:f>
              <c:strCache>
                <c:ptCount val="1"/>
                <c:pt idx="0">
                  <c:v>  13/14 ADJ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FinPerform!$F$82:$F$85</c:f>
              <c:numCache>
                <c:formatCode>#\ ###\ ;\(#\ ###\ 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FinPerform!$G$1</c:f>
              <c:strCache>
                <c:ptCount val="1"/>
                <c:pt idx="0">
                  <c:v> 13/14 FCST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FinPerform!$G$82:$G$85</c:f>
              <c:numCache>
                <c:formatCode>#\ ###\ ;\(#\ ###\ \)</c:formatCode>
                <c:ptCount val="4"/>
                <c:pt idx="0">
                  <c:v>12000000</c:v>
                </c:pt>
                <c:pt idx="1">
                  <c:v>45251000</c:v>
                </c:pt>
                <c:pt idx="2">
                  <c:v>40000000</c:v>
                </c:pt>
                <c:pt idx="3">
                  <c:v>78781000</c:v>
                </c:pt>
              </c:numCache>
            </c:numRef>
          </c:val>
        </c:ser>
        <c:ser>
          <c:idx val="6"/>
          <c:order val="6"/>
          <c:tx>
            <c:strRef>
              <c:f>FinPerform!$H$1</c:f>
              <c:strCache>
                <c:ptCount val="1"/>
                <c:pt idx="0">
                  <c:v>13/14 ACT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FinPerform!$H$82:$H$85</c:f>
              <c:numCache>
                <c:formatCode>#\ ###\ ;\(#\ ###\ \)</c:formatCode>
                <c:ptCount val="4"/>
                <c:pt idx="0">
                  <c:v>12000000</c:v>
                </c:pt>
                <c:pt idx="1">
                  <c:v>45251000</c:v>
                </c:pt>
                <c:pt idx="2">
                  <c:v>40000000</c:v>
                </c:pt>
                <c:pt idx="3">
                  <c:v>78781000</c:v>
                </c:pt>
              </c:numCache>
            </c:numRef>
          </c:val>
        </c:ser>
        <c:ser>
          <c:idx val="7"/>
          <c:order val="7"/>
          <c:tx>
            <c:strRef>
              <c:f>FinPerform!$I$1</c:f>
              <c:strCache>
                <c:ptCount val="1"/>
                <c:pt idx="0">
                  <c:v>Budget Year 14/15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FinPerform!$I$82:$I$85</c:f>
              <c:numCache>
                <c:formatCode>#\ ###\ ;\(#\ ###\ \)</c:formatCode>
                <c:ptCount val="4"/>
                <c:pt idx="0">
                  <c:v>19947000</c:v>
                </c:pt>
                <c:pt idx="1">
                  <c:v>19849000</c:v>
                </c:pt>
                <c:pt idx="2">
                  <c:v>36480000</c:v>
                </c:pt>
                <c:pt idx="3">
                  <c:v>81279000</c:v>
                </c:pt>
              </c:numCache>
            </c:numRef>
          </c:val>
        </c:ser>
        <c:ser>
          <c:idx val="8"/>
          <c:order val="8"/>
          <c:tx>
            <c:strRef>
              <c:f>FinPerform!$J$1</c:f>
              <c:strCache>
                <c:ptCount val="1"/>
                <c:pt idx="0">
                  <c:v>Budget Year +1 15/16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FinPerform!$J$82:$J$85</c:f>
              <c:numCache>
                <c:formatCode>#\ ###\ ;\(#\ ###\ \)</c:formatCode>
                <c:ptCount val="4"/>
                <c:pt idx="0">
                  <c:v>20945000</c:v>
                </c:pt>
                <c:pt idx="1">
                  <c:v>4863000</c:v>
                </c:pt>
                <c:pt idx="2">
                  <c:v>39033000</c:v>
                </c:pt>
                <c:pt idx="3">
                  <c:v>81892000</c:v>
                </c:pt>
              </c:numCache>
            </c:numRef>
          </c:val>
        </c:ser>
        <c:ser>
          <c:idx val="9"/>
          <c:order val="9"/>
          <c:tx>
            <c:strRef>
              <c:f>FinPerform!$K$1</c:f>
              <c:strCache>
                <c:ptCount val="1"/>
                <c:pt idx="0">
                  <c:v>Budget Year +2 16/17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FinPerform!$K$82:$K$85</c:f>
              <c:numCache>
                <c:formatCode>#\ ###\ ;\(#\ ###\ \)</c:formatCode>
                <c:ptCount val="4"/>
                <c:pt idx="0">
                  <c:v>21992000</c:v>
                </c:pt>
                <c:pt idx="1">
                  <c:v>5106000</c:v>
                </c:pt>
                <c:pt idx="2">
                  <c:v>41765000</c:v>
                </c:pt>
                <c:pt idx="3">
                  <c:v>75332000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013320"/>
        <c:axId val="281013712"/>
      </c:barChart>
      <c:catAx>
        <c:axId val="281013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013712"/>
        <c:crosses val="autoZero"/>
        <c:auto val="1"/>
        <c:lblAlgn val="ctr"/>
        <c:lblOffset val="100"/>
        <c:tickMarkSkip val="1"/>
        <c:noMultiLvlLbl val="0"/>
      </c:catAx>
      <c:valAx>
        <c:axId val="28101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631578947368418E-2"/>
              <c:y val="0.295213045177863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013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Minor - Chart A7</a:t>
            </a:r>
          </a:p>
        </c:rich>
      </c:tx>
      <c:layout>
        <c:manualLayout>
          <c:xMode val="edge"/>
          <c:yMode val="edge"/>
          <c:x val="0.36388932633420823"/>
          <c:y val="2.673796791443850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05578349580011"/>
          <c:y val="6.4171122994652413E-2"/>
          <c:w val="0.82639000975207488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FinPerform!$A$75</c:f>
              <c:strCache>
                <c:ptCount val="1"/>
                <c:pt idx="0">
                  <c:v>Other materials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FinPerform!$B$75:$K$75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4340000</c:v>
                </c:pt>
                <c:pt idx="8">
                  <c:v>4557000</c:v>
                </c:pt>
                <c:pt idx="9">
                  <c:v>4784000</c:v>
                </c:pt>
              </c:numCache>
            </c:numRef>
          </c:val>
        </c:ser>
        <c:ser>
          <c:idx val="1"/>
          <c:order val="1"/>
          <c:tx>
            <c:strRef>
              <c:f>FinPerform!$A$76</c:f>
              <c:strCache>
                <c:ptCount val="1"/>
                <c:pt idx="0">
                  <c:v>Loss on disposal of PPE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FinPerform!$B$76:$K$76</c:f>
              <c:numCache>
                <c:formatCode>#\ ###\ ;\(#\ ###\ \)</c:formatCode>
                <c:ptCount val="10"/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FinPerform!$A$77</c:f>
              <c:strCache>
                <c:ptCount val="1"/>
                <c:pt idx="0">
                  <c:v>Remuneration of councillors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FinPerform!$B$77:$K$77</c:f>
              <c:numCache>
                <c:formatCode>#\ ###\ ;\(#\ ###\ \)</c:formatCode>
                <c:ptCount val="10"/>
                <c:pt idx="0">
                  <c:v>2713000</c:v>
                </c:pt>
                <c:pt idx="1">
                  <c:v>3396000</c:v>
                </c:pt>
                <c:pt idx="2">
                  <c:v>5280000</c:v>
                </c:pt>
                <c:pt idx="3">
                  <c:v>3451000</c:v>
                </c:pt>
                <c:pt idx="4">
                  <c:v>0</c:v>
                </c:pt>
                <c:pt idx="5">
                  <c:v>3451000</c:v>
                </c:pt>
                <c:pt idx="6">
                  <c:v>3451000</c:v>
                </c:pt>
                <c:pt idx="7">
                  <c:v>5408000</c:v>
                </c:pt>
                <c:pt idx="8">
                  <c:v>5733000</c:v>
                </c:pt>
                <c:pt idx="9">
                  <c:v>6134000</c:v>
                </c:pt>
              </c:numCache>
            </c:numRef>
          </c:val>
        </c:ser>
        <c:ser>
          <c:idx val="3"/>
          <c:order val="3"/>
          <c:tx>
            <c:strRef>
              <c:f>FinPerform!$A$78</c:f>
              <c:strCache>
                <c:ptCount val="1"/>
                <c:pt idx="0">
                  <c:v>Grants and subsidies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FinPerform!$B$78:$K$78</c:f>
              <c:numCache>
                <c:formatCode>#\ ###\ ;\(#\ ###\ \)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FinPerform!$A$79</c:f>
              <c:strCache>
                <c:ptCount val="1"/>
                <c:pt idx="0">
                  <c:v>Debt impairment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FinPerform!$B$79:$K$79</c:f>
              <c:numCache>
                <c:formatCode>#\ ###\ ;\(#\ ###\ \)</c:formatCode>
                <c:ptCount val="10"/>
                <c:pt idx="0">
                  <c:v>100000</c:v>
                </c:pt>
                <c:pt idx="1">
                  <c:v>976000</c:v>
                </c:pt>
                <c:pt idx="2">
                  <c:v>1136000</c:v>
                </c:pt>
                <c:pt idx="3">
                  <c:v>500000</c:v>
                </c:pt>
                <c:pt idx="4">
                  <c:v>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525000</c:v>
                </c:pt>
                <c:pt idx="9">
                  <c:v>551000</c:v>
                </c:pt>
              </c:numCache>
            </c:numRef>
          </c:val>
        </c:ser>
        <c:ser>
          <c:idx val="5"/>
          <c:order val="5"/>
          <c:tx>
            <c:strRef>
              <c:f>FinPerform!$A$80</c:f>
              <c:strCache>
                <c:ptCount val="1"/>
                <c:pt idx="0">
                  <c:v>Contracted services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FinPerform!$B$80:$K$80</c:f>
              <c:numCache>
                <c:formatCode>#\ ###\ ;\(#\ ###\ \)</c:formatCode>
                <c:ptCount val="10"/>
                <c:pt idx="0">
                  <c:v>2290000</c:v>
                </c:pt>
                <c:pt idx="1">
                  <c:v>4106000</c:v>
                </c:pt>
                <c:pt idx="2">
                  <c:v>3000000</c:v>
                </c:pt>
                <c:pt idx="3">
                  <c:v>5451000</c:v>
                </c:pt>
                <c:pt idx="4">
                  <c:v>0</c:v>
                </c:pt>
                <c:pt idx="5">
                  <c:v>5451000</c:v>
                </c:pt>
                <c:pt idx="6">
                  <c:v>5451000</c:v>
                </c:pt>
                <c:pt idx="7">
                  <c:v>8069000</c:v>
                </c:pt>
                <c:pt idx="8">
                  <c:v>8528000</c:v>
                </c:pt>
                <c:pt idx="9">
                  <c:v>9070000</c:v>
                </c:pt>
              </c:numCache>
            </c:numRef>
          </c:val>
        </c:ser>
        <c:ser>
          <c:idx val="6"/>
          <c:order val="6"/>
          <c:tx>
            <c:strRef>
              <c:f>FinPerform!$A$81</c:f>
              <c:strCache>
                <c:ptCount val="1"/>
                <c:pt idx="0">
                  <c:v>Finance charges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FinPerform!$B$81:$K$81</c:f>
              <c:numCache>
                <c:formatCode>#\ ###\ ;\(#\ ###\ \)</c:formatCode>
                <c:ptCount val="10"/>
                <c:pt idx="0">
                  <c:v>0</c:v>
                </c:pt>
                <c:pt idx="1">
                  <c:v>52000</c:v>
                </c:pt>
                <c:pt idx="2">
                  <c:v>142000</c:v>
                </c:pt>
                <c:pt idx="3">
                  <c:v>800000</c:v>
                </c:pt>
                <c:pt idx="4">
                  <c:v>0</c:v>
                </c:pt>
                <c:pt idx="5">
                  <c:v>800000</c:v>
                </c:pt>
                <c:pt idx="6">
                  <c:v>800000</c:v>
                </c:pt>
                <c:pt idx="7">
                  <c:v>849000</c:v>
                </c:pt>
                <c:pt idx="8">
                  <c:v>891000</c:v>
                </c:pt>
                <c:pt idx="9">
                  <c:v>939000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303112"/>
        <c:axId val="285303504"/>
      </c:barChart>
      <c:catAx>
        <c:axId val="285303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303504"/>
        <c:crosses val="autoZero"/>
        <c:auto val="1"/>
        <c:lblAlgn val="ctr"/>
        <c:lblOffset val="100"/>
        <c:tickMarkSkip val="1"/>
        <c:noMultiLvlLbl val="0"/>
      </c:catAx>
      <c:valAx>
        <c:axId val="28530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3368983957219251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3031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Municipal Vote classification - Chart A1</a:t>
            </a:r>
          </a:p>
        </c:rich>
      </c:tx>
      <c:layout>
        <c:manualLayout>
          <c:xMode val="edge"/>
          <c:yMode val="edge"/>
          <c:x val="0.31849791376912379"/>
          <c:y val="5.2584670231729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45062586926285"/>
          <c:y val="6.4171122994652413E-2"/>
          <c:w val="0.78998609179415857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FinPerform!$A$140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FinPerform!$B$140:$K$140</c:f>
              <c:numCache>
                <c:formatCode>#\ ###\ ;\(#\ ###\ \)</c:formatCode>
                <c:ptCount val="10"/>
                <c:pt idx="0">
                  <c:v>11331000</c:v>
                </c:pt>
                <c:pt idx="1">
                  <c:v>10946000</c:v>
                </c:pt>
                <c:pt idx="2">
                  <c:v>10213000</c:v>
                </c:pt>
                <c:pt idx="3">
                  <c:v>37506000</c:v>
                </c:pt>
                <c:pt idx="4">
                  <c:v>0</c:v>
                </c:pt>
                <c:pt idx="5">
                  <c:v>37506000</c:v>
                </c:pt>
                <c:pt idx="6">
                  <c:v>37506000</c:v>
                </c:pt>
                <c:pt idx="7">
                  <c:v>49651000</c:v>
                </c:pt>
                <c:pt idx="8">
                  <c:v>22109000</c:v>
                </c:pt>
                <c:pt idx="9">
                  <c:v>23956000</c:v>
                </c:pt>
              </c:numCache>
            </c:numRef>
          </c:val>
        </c:ser>
        <c:ser>
          <c:idx val="1"/>
          <c:order val="1"/>
          <c:tx>
            <c:strRef>
              <c:f>FinPerform!$A$141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FinPerform!$B$141:$K$141</c:f>
              <c:numCache>
                <c:formatCode>#\ ###\ ;\(#\ ###\ \)</c:formatCode>
                <c:ptCount val="10"/>
                <c:pt idx="0">
                  <c:v>28716000</c:v>
                </c:pt>
                <c:pt idx="1">
                  <c:v>34077000</c:v>
                </c:pt>
                <c:pt idx="2">
                  <c:v>34693000</c:v>
                </c:pt>
                <c:pt idx="3">
                  <c:v>39510000</c:v>
                </c:pt>
                <c:pt idx="4">
                  <c:v>0</c:v>
                </c:pt>
                <c:pt idx="5">
                  <c:v>39510000</c:v>
                </c:pt>
                <c:pt idx="6">
                  <c:v>39510000</c:v>
                </c:pt>
                <c:pt idx="7">
                  <c:v>38626000</c:v>
                </c:pt>
                <c:pt idx="8">
                  <c:v>41796000</c:v>
                </c:pt>
                <c:pt idx="9">
                  <c:v>50969000</c:v>
                </c:pt>
              </c:numCache>
            </c:numRef>
          </c:val>
        </c:ser>
        <c:ser>
          <c:idx val="2"/>
          <c:order val="2"/>
          <c:tx>
            <c:strRef>
              <c:f>FinPerform!$A$142</c:f>
              <c:strCache>
                <c:ptCount val="1"/>
                <c:pt idx="0">
                  <c:v>Community Services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FinPerform!$B$142:$K$142</c:f>
              <c:numCache>
                <c:formatCode>#\ ###\ ;\(#\ ###\ \)</c:formatCode>
                <c:ptCount val="10"/>
                <c:pt idx="0">
                  <c:v>13724000</c:v>
                </c:pt>
                <c:pt idx="1">
                  <c:v>3012000</c:v>
                </c:pt>
                <c:pt idx="2">
                  <c:v>3036000</c:v>
                </c:pt>
                <c:pt idx="3">
                  <c:v>3298000</c:v>
                </c:pt>
                <c:pt idx="4">
                  <c:v>0</c:v>
                </c:pt>
                <c:pt idx="5">
                  <c:v>3298000</c:v>
                </c:pt>
                <c:pt idx="6">
                  <c:v>3298000</c:v>
                </c:pt>
                <c:pt idx="7">
                  <c:v>3298000</c:v>
                </c:pt>
                <c:pt idx="8">
                  <c:v>3463000</c:v>
                </c:pt>
                <c:pt idx="9">
                  <c:v>3636000</c:v>
                </c:pt>
              </c:numCache>
            </c:numRef>
          </c:val>
        </c:ser>
        <c:ser>
          <c:idx val="3"/>
          <c:order val="3"/>
          <c:tx>
            <c:strRef>
              <c:f>FinPerform!$A$143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FinPerform!$B$143:$K$143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FinPerform!$A$144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FinPerform!$B$144:$K$144</c:f>
              <c:numCache>
                <c:formatCode>#\ ###\ ;\(#\ ###\ \)</c:formatCode>
                <c:ptCount val="10"/>
                <c:pt idx="0">
                  <c:v>5036000</c:v>
                </c:pt>
                <c:pt idx="1">
                  <c:v>6555000</c:v>
                </c:pt>
                <c:pt idx="2">
                  <c:v>7660000</c:v>
                </c:pt>
                <c:pt idx="3">
                  <c:v>7449000</c:v>
                </c:pt>
                <c:pt idx="4">
                  <c:v>0</c:v>
                </c:pt>
                <c:pt idx="5">
                  <c:v>7449000</c:v>
                </c:pt>
                <c:pt idx="6">
                  <c:v>7449000</c:v>
                </c:pt>
                <c:pt idx="7">
                  <c:v>8655000</c:v>
                </c:pt>
                <c:pt idx="8">
                  <c:v>8655000</c:v>
                </c:pt>
                <c:pt idx="9">
                  <c:v>9250000</c:v>
                </c:pt>
              </c:numCache>
            </c:numRef>
          </c:val>
        </c:ser>
        <c:ser>
          <c:idx val="5"/>
          <c:order val="5"/>
          <c:tx>
            <c:strRef>
              <c:f>FinPerform!$A$145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FinPerform!$B$145:$K$145</c:f>
              <c:numCache>
                <c:formatCode>#\ ###\ ;\(#\ ###\ \)</c:formatCode>
                <c:ptCount val="10"/>
                <c:pt idx="0">
                  <c:v>44082000</c:v>
                </c:pt>
                <c:pt idx="1">
                  <c:v>69669000</c:v>
                </c:pt>
                <c:pt idx="2">
                  <c:v>93810000</c:v>
                </c:pt>
                <c:pt idx="3">
                  <c:v>90095000</c:v>
                </c:pt>
                <c:pt idx="4">
                  <c:v>0</c:v>
                </c:pt>
                <c:pt idx="5">
                  <c:v>90095000</c:v>
                </c:pt>
                <c:pt idx="6">
                  <c:v>90095000</c:v>
                </c:pt>
                <c:pt idx="7">
                  <c:v>85891000</c:v>
                </c:pt>
                <c:pt idx="8">
                  <c:v>91094000</c:v>
                </c:pt>
                <c:pt idx="9">
                  <c:v>95649000</c:v>
                </c:pt>
              </c:numCache>
            </c:numRef>
          </c:val>
        </c:ser>
        <c:ser>
          <c:idx val="6"/>
          <c:order val="6"/>
          <c:tx>
            <c:strRef>
              <c:f>FinPerform!$A$146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FinPerform!$B$146:$K$146</c:f>
              <c:numCache>
                <c:formatCode>#\ ###\ ;\(#\ ###\ \)</c:formatCode>
                <c:ptCount val="10"/>
                <c:pt idx="0">
                  <c:v>28279000</c:v>
                </c:pt>
                <c:pt idx="1">
                  <c:v>25827000</c:v>
                </c:pt>
                <c:pt idx="2">
                  <c:v>21843000</c:v>
                </c:pt>
                <c:pt idx="3">
                  <c:v>21215000</c:v>
                </c:pt>
                <c:pt idx="4">
                  <c:v>0</c:v>
                </c:pt>
                <c:pt idx="5">
                  <c:v>21215000</c:v>
                </c:pt>
                <c:pt idx="6">
                  <c:v>21215000</c:v>
                </c:pt>
                <c:pt idx="7">
                  <c:v>20050000</c:v>
                </c:pt>
                <c:pt idx="8">
                  <c:v>19851000</c:v>
                </c:pt>
                <c:pt idx="9">
                  <c:v>20567000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304680"/>
        <c:axId val="422449184"/>
      </c:barChart>
      <c:catAx>
        <c:axId val="28530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2449184"/>
        <c:crosses val="autoZero"/>
        <c:auto val="1"/>
        <c:lblAlgn val="ctr"/>
        <c:lblOffset val="100"/>
        <c:tickMarkSkip val="1"/>
        <c:noMultiLvlLbl val="0"/>
      </c:catAx>
      <c:valAx>
        <c:axId val="42244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805285118219746E-2"/>
              <c:y val="0.3368983957219251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304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Municipal Vote - Chart A2a</a:t>
            </a:r>
          </a:p>
        </c:rich>
      </c:tx>
      <c:layout>
        <c:manualLayout>
          <c:xMode val="edge"/>
          <c:yMode val="edge"/>
          <c:x val="0.3527782152230971"/>
          <c:y val="8.11051693404634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16694358580673"/>
          <c:y val="6.4171122994652413E-2"/>
          <c:w val="0.79027884966206818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FinPerform!$A$174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FinPerform!$B$174:$K$174</c:f>
              <c:numCache>
                <c:formatCode>#\ ###\ ;\(#\ ###\ \)</c:formatCode>
                <c:ptCount val="10"/>
                <c:pt idx="0">
                  <c:v>21239000</c:v>
                </c:pt>
                <c:pt idx="1">
                  <c:v>24857000</c:v>
                </c:pt>
                <c:pt idx="2">
                  <c:v>32733000</c:v>
                </c:pt>
                <c:pt idx="3">
                  <c:v>30808000</c:v>
                </c:pt>
                <c:pt idx="4">
                  <c:v>0</c:v>
                </c:pt>
                <c:pt idx="5">
                  <c:v>30808000</c:v>
                </c:pt>
                <c:pt idx="6">
                  <c:v>30808000</c:v>
                </c:pt>
                <c:pt idx="7">
                  <c:v>34249000</c:v>
                </c:pt>
                <c:pt idx="8">
                  <c:v>27797000</c:v>
                </c:pt>
                <c:pt idx="9">
                  <c:v>27774000</c:v>
                </c:pt>
              </c:numCache>
            </c:numRef>
          </c:val>
        </c:ser>
        <c:ser>
          <c:idx val="1"/>
          <c:order val="1"/>
          <c:tx>
            <c:strRef>
              <c:f>FinPerform!$A$175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FinPerform!$B$175:$K$175</c:f>
              <c:numCache>
                <c:formatCode>#\ ###\ ;\(#\ ###\ \)</c:formatCode>
                <c:ptCount val="10"/>
                <c:pt idx="0">
                  <c:v>44516000</c:v>
                </c:pt>
                <c:pt idx="1">
                  <c:v>42508000</c:v>
                </c:pt>
                <c:pt idx="2">
                  <c:v>44841000</c:v>
                </c:pt>
                <c:pt idx="3">
                  <c:v>48827000</c:v>
                </c:pt>
                <c:pt idx="5">
                  <c:v>48827000</c:v>
                </c:pt>
                <c:pt idx="6">
                  <c:v>48827000</c:v>
                </c:pt>
                <c:pt idx="7">
                  <c:v>56951000</c:v>
                </c:pt>
                <c:pt idx="8">
                  <c:v>50350000</c:v>
                </c:pt>
                <c:pt idx="9">
                  <c:v>52170000</c:v>
                </c:pt>
              </c:numCache>
            </c:numRef>
          </c:val>
        </c:ser>
        <c:ser>
          <c:idx val="2"/>
          <c:order val="2"/>
          <c:tx>
            <c:strRef>
              <c:f>FinPerform!$A$176</c:f>
              <c:strCache>
                <c:ptCount val="1"/>
                <c:pt idx="0">
                  <c:v>Community Services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FinPerform!$B$176:$K$176</c:f>
              <c:numCache>
                <c:formatCode>#\ ###\ ;\(#\ ###\ \)</c:formatCode>
                <c:ptCount val="10"/>
                <c:pt idx="0">
                  <c:v>2297000</c:v>
                </c:pt>
                <c:pt idx="1">
                  <c:v>2175000</c:v>
                </c:pt>
                <c:pt idx="2">
                  <c:v>11645000</c:v>
                </c:pt>
                <c:pt idx="3">
                  <c:v>11380000</c:v>
                </c:pt>
                <c:pt idx="5">
                  <c:v>11380000</c:v>
                </c:pt>
                <c:pt idx="6">
                  <c:v>11380000</c:v>
                </c:pt>
                <c:pt idx="7">
                  <c:v>12350000</c:v>
                </c:pt>
                <c:pt idx="8">
                  <c:v>12808000</c:v>
                </c:pt>
                <c:pt idx="9">
                  <c:v>13137000</c:v>
                </c:pt>
              </c:numCache>
            </c:numRef>
          </c:val>
        </c:ser>
        <c:ser>
          <c:idx val="3"/>
          <c:order val="3"/>
          <c:tx>
            <c:strRef>
              <c:f>FinPerform!$A$177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FinPerform!$B$177:$K$177</c:f>
              <c:numCache>
                <c:formatCode>#\ ###\ ;\(#\ ###\ \)</c:formatCode>
                <c:ptCount val="10"/>
                <c:pt idx="0">
                  <c:v>2499000</c:v>
                </c:pt>
                <c:pt idx="1">
                  <c:v>3285000</c:v>
                </c:pt>
                <c:pt idx="2">
                  <c:v>3391000</c:v>
                </c:pt>
                <c:pt idx="3">
                  <c:v>3547000</c:v>
                </c:pt>
                <c:pt idx="5">
                  <c:v>3547000</c:v>
                </c:pt>
                <c:pt idx="6">
                  <c:v>3547000</c:v>
                </c:pt>
                <c:pt idx="7">
                  <c:v>3547000</c:v>
                </c:pt>
                <c:pt idx="8">
                  <c:v>3725000</c:v>
                </c:pt>
                <c:pt idx="9">
                  <c:v>3911000</c:v>
                </c:pt>
              </c:numCache>
            </c:numRef>
          </c:val>
        </c:ser>
        <c:ser>
          <c:idx val="4"/>
          <c:order val="4"/>
          <c:tx>
            <c:strRef>
              <c:f>FinPerform!$A$178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FinPerform!$B$178:$K$178</c:f>
              <c:numCache>
                <c:formatCode>#\ ###\ ;\(#\ ###\ \)</c:formatCode>
                <c:ptCount val="10"/>
                <c:pt idx="0">
                  <c:v>6600000</c:v>
                </c:pt>
                <c:pt idx="1">
                  <c:v>7402000</c:v>
                </c:pt>
                <c:pt idx="2">
                  <c:v>13221000</c:v>
                </c:pt>
                <c:pt idx="3">
                  <c:v>13221000</c:v>
                </c:pt>
                <c:pt idx="5">
                  <c:v>13221000</c:v>
                </c:pt>
                <c:pt idx="6">
                  <c:v>13221000</c:v>
                </c:pt>
                <c:pt idx="7">
                  <c:v>8894000</c:v>
                </c:pt>
                <c:pt idx="8">
                  <c:v>9339000</c:v>
                </c:pt>
                <c:pt idx="9">
                  <c:v>9806000</c:v>
                </c:pt>
              </c:numCache>
            </c:numRef>
          </c:val>
        </c:ser>
        <c:ser>
          <c:idx val="5"/>
          <c:order val="5"/>
          <c:tx>
            <c:strRef>
              <c:f>FinPerform!$A$179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FinPerform!$B$179:$K$179</c:f>
              <c:numCache>
                <c:formatCode>#\ ###\ ;\(#\ ###\ \)</c:formatCode>
                <c:ptCount val="10"/>
                <c:pt idx="0">
                  <c:v>30105000</c:v>
                </c:pt>
                <c:pt idx="1">
                  <c:v>37490000</c:v>
                </c:pt>
                <c:pt idx="2">
                  <c:v>54727000</c:v>
                </c:pt>
                <c:pt idx="3">
                  <c:v>50858000</c:v>
                </c:pt>
                <c:pt idx="5">
                  <c:v>50858000</c:v>
                </c:pt>
                <c:pt idx="6">
                  <c:v>50858000</c:v>
                </c:pt>
                <c:pt idx="7">
                  <c:v>50858000</c:v>
                </c:pt>
                <c:pt idx="8">
                  <c:v>53401000</c:v>
                </c:pt>
                <c:pt idx="9">
                  <c:v>56071000</c:v>
                </c:pt>
              </c:numCache>
            </c:numRef>
          </c:val>
        </c:ser>
        <c:ser>
          <c:idx val="6"/>
          <c:order val="6"/>
          <c:tx>
            <c:strRef>
              <c:f>FinPerform!$A$180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FinPerform!$B$180:$K$180</c:f>
              <c:numCache>
                <c:formatCode>#\ ###\ ;\(#\ ###\ \)</c:formatCode>
                <c:ptCount val="10"/>
                <c:pt idx="0">
                  <c:v>23178000</c:v>
                </c:pt>
                <c:pt idx="1">
                  <c:v>45347000</c:v>
                </c:pt>
                <c:pt idx="2">
                  <c:v>21113000</c:v>
                </c:pt>
                <c:pt idx="3">
                  <c:v>27592000</c:v>
                </c:pt>
                <c:pt idx="5">
                  <c:v>27592000</c:v>
                </c:pt>
                <c:pt idx="6">
                  <c:v>27592000</c:v>
                </c:pt>
                <c:pt idx="7">
                  <c:v>28815000</c:v>
                </c:pt>
                <c:pt idx="8">
                  <c:v>19548000</c:v>
                </c:pt>
                <c:pt idx="9">
                  <c:v>23326000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450360"/>
        <c:axId val="422450752"/>
      </c:barChart>
      <c:catAx>
        <c:axId val="422450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2450752"/>
        <c:crosses val="autoZero"/>
        <c:auto val="1"/>
        <c:lblAlgn val="ctr"/>
        <c:lblOffset val="100"/>
        <c:tickMarkSkip val="1"/>
        <c:noMultiLvlLbl val="0"/>
      </c:catAx>
      <c:valAx>
        <c:axId val="42245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6.8055701370661997E-2"/>
              <c:y val="0.3342245989304812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2450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Municipal Vote - Chart A2 (b Trend)</a:t>
            </a:r>
          </a:p>
        </c:rich>
      </c:tx>
      <c:layout>
        <c:manualLayout>
          <c:xMode val="edge"/>
          <c:yMode val="edge"/>
          <c:x val="0.39335180055401664"/>
          <c:y val="5.2444444444444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991689750692521"/>
          <c:y val="3.2000000000000001E-2"/>
          <c:w val="0.76454293628808867"/>
          <c:h val="0.6186666666666667"/>
        </c:manualLayout>
      </c:layout>
      <c:lineChart>
        <c:grouping val="standard"/>
        <c:varyColors val="0"/>
        <c:ser>
          <c:idx val="0"/>
          <c:order val="0"/>
          <c:tx>
            <c:strRef>
              <c:f>FinPerform!$A$174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FinPerform!$B$174:$K$174</c:f>
              <c:numCache>
                <c:formatCode>#\ ###\ ;\(#\ ###\ \)</c:formatCode>
                <c:ptCount val="10"/>
                <c:pt idx="0">
                  <c:v>21239000</c:v>
                </c:pt>
                <c:pt idx="1">
                  <c:v>24857000</c:v>
                </c:pt>
                <c:pt idx="2">
                  <c:v>32733000</c:v>
                </c:pt>
                <c:pt idx="3">
                  <c:v>30808000</c:v>
                </c:pt>
                <c:pt idx="4">
                  <c:v>0</c:v>
                </c:pt>
                <c:pt idx="5">
                  <c:v>30808000</c:v>
                </c:pt>
                <c:pt idx="6">
                  <c:v>30808000</c:v>
                </c:pt>
                <c:pt idx="7">
                  <c:v>34249000</c:v>
                </c:pt>
                <c:pt idx="8">
                  <c:v>27797000</c:v>
                </c:pt>
                <c:pt idx="9">
                  <c:v>27774000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FinPerform!$A$175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FinPerform!$B$175:$K$175</c:f>
              <c:numCache>
                <c:formatCode>#\ ###\ ;\(#\ ###\ \)</c:formatCode>
                <c:ptCount val="10"/>
                <c:pt idx="0">
                  <c:v>44516000</c:v>
                </c:pt>
                <c:pt idx="1">
                  <c:v>42508000</c:v>
                </c:pt>
                <c:pt idx="2">
                  <c:v>44841000</c:v>
                </c:pt>
                <c:pt idx="3">
                  <c:v>48827000</c:v>
                </c:pt>
                <c:pt idx="5">
                  <c:v>48827000</c:v>
                </c:pt>
                <c:pt idx="6">
                  <c:v>48827000</c:v>
                </c:pt>
                <c:pt idx="7">
                  <c:v>56951000</c:v>
                </c:pt>
                <c:pt idx="8">
                  <c:v>50350000</c:v>
                </c:pt>
                <c:pt idx="9">
                  <c:v>52170000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FinPerform!$A$176</c:f>
              <c:strCache>
                <c:ptCount val="1"/>
                <c:pt idx="0">
                  <c:v>Community Services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FinPerform!$B$176:$K$176</c:f>
              <c:numCache>
                <c:formatCode>#\ ###\ ;\(#\ ###\ \)</c:formatCode>
                <c:ptCount val="10"/>
                <c:pt idx="0">
                  <c:v>2297000</c:v>
                </c:pt>
                <c:pt idx="1">
                  <c:v>2175000</c:v>
                </c:pt>
                <c:pt idx="2">
                  <c:v>11645000</c:v>
                </c:pt>
                <c:pt idx="3">
                  <c:v>11380000</c:v>
                </c:pt>
                <c:pt idx="5">
                  <c:v>11380000</c:v>
                </c:pt>
                <c:pt idx="6">
                  <c:v>11380000</c:v>
                </c:pt>
                <c:pt idx="7">
                  <c:v>12350000</c:v>
                </c:pt>
                <c:pt idx="8">
                  <c:v>12808000</c:v>
                </c:pt>
                <c:pt idx="9">
                  <c:v>13137000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FinPerform!$A$177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FinPerform!$B$177:$K$177</c:f>
              <c:numCache>
                <c:formatCode>#\ ###\ ;\(#\ ###\ \)</c:formatCode>
                <c:ptCount val="10"/>
                <c:pt idx="0">
                  <c:v>2499000</c:v>
                </c:pt>
                <c:pt idx="1">
                  <c:v>3285000</c:v>
                </c:pt>
                <c:pt idx="2">
                  <c:v>3391000</c:v>
                </c:pt>
                <c:pt idx="3">
                  <c:v>3547000</c:v>
                </c:pt>
                <c:pt idx="5">
                  <c:v>3547000</c:v>
                </c:pt>
                <c:pt idx="6">
                  <c:v>3547000</c:v>
                </c:pt>
                <c:pt idx="7">
                  <c:v>3547000</c:v>
                </c:pt>
                <c:pt idx="8">
                  <c:v>3725000</c:v>
                </c:pt>
                <c:pt idx="9">
                  <c:v>3911000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FinPerform!$A$178</c:f>
              <c:strCache>
                <c:ptCount val="1"/>
                <c:pt idx="0">
                  <c:v>Waste Management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FinPerform!$B$178:$K$178</c:f>
              <c:numCache>
                <c:formatCode>#\ ###\ ;\(#\ ###\ \)</c:formatCode>
                <c:ptCount val="10"/>
                <c:pt idx="0">
                  <c:v>6600000</c:v>
                </c:pt>
                <c:pt idx="1">
                  <c:v>7402000</c:v>
                </c:pt>
                <c:pt idx="2">
                  <c:v>13221000</c:v>
                </c:pt>
                <c:pt idx="3">
                  <c:v>13221000</c:v>
                </c:pt>
                <c:pt idx="5">
                  <c:v>13221000</c:v>
                </c:pt>
                <c:pt idx="6">
                  <c:v>13221000</c:v>
                </c:pt>
                <c:pt idx="7">
                  <c:v>8894000</c:v>
                </c:pt>
                <c:pt idx="8">
                  <c:v>9339000</c:v>
                </c:pt>
                <c:pt idx="9">
                  <c:v>9806000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FinPerform!$A$179</c:f>
              <c:strCache>
                <c:ptCount val="1"/>
                <c:pt idx="0">
                  <c:v>Electricity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FinPerform!$B$179:$K$179</c:f>
              <c:numCache>
                <c:formatCode>#\ ###\ ;\(#\ ###\ \)</c:formatCode>
                <c:ptCount val="10"/>
                <c:pt idx="0">
                  <c:v>30105000</c:v>
                </c:pt>
                <c:pt idx="1">
                  <c:v>37490000</c:v>
                </c:pt>
                <c:pt idx="2">
                  <c:v>54727000</c:v>
                </c:pt>
                <c:pt idx="3">
                  <c:v>50858000</c:v>
                </c:pt>
                <c:pt idx="5">
                  <c:v>50858000</c:v>
                </c:pt>
                <c:pt idx="6">
                  <c:v>50858000</c:v>
                </c:pt>
                <c:pt idx="7">
                  <c:v>50858000</c:v>
                </c:pt>
                <c:pt idx="8">
                  <c:v>53401000</c:v>
                </c:pt>
                <c:pt idx="9">
                  <c:v>56071000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FinPerform!$A$180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FinPerform!$B$180:$K$180</c:f>
              <c:numCache>
                <c:formatCode>#\ ###\ ;\(#\ ###\ \)</c:formatCode>
                <c:ptCount val="10"/>
                <c:pt idx="0">
                  <c:v>23178000</c:v>
                </c:pt>
                <c:pt idx="1">
                  <c:v>45347000</c:v>
                </c:pt>
                <c:pt idx="2">
                  <c:v>21113000</c:v>
                </c:pt>
                <c:pt idx="3">
                  <c:v>27592000</c:v>
                </c:pt>
                <c:pt idx="5">
                  <c:v>27592000</c:v>
                </c:pt>
                <c:pt idx="6">
                  <c:v>27592000</c:v>
                </c:pt>
                <c:pt idx="7">
                  <c:v>28815000</c:v>
                </c:pt>
                <c:pt idx="8">
                  <c:v>19548000</c:v>
                </c:pt>
                <c:pt idx="9">
                  <c:v>23326000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729104"/>
        <c:axId val="358729496"/>
      </c:lineChart>
      <c:catAx>
        <c:axId val="3587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729496"/>
        <c:crosses val="autoZero"/>
        <c:auto val="1"/>
        <c:lblAlgn val="ctr"/>
        <c:lblOffset val="100"/>
        <c:tickMarkSkip val="1"/>
        <c:noMultiLvlLbl val="0"/>
      </c:catAx>
      <c:valAx>
        <c:axId val="358729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332409972299165E-2"/>
              <c:y val="0.34133417322834647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7291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standard classification - Chart A3</a:t>
            </a:r>
          </a:p>
        </c:rich>
      </c:tx>
      <c:layout>
        <c:manualLayout>
          <c:xMode val="edge"/>
          <c:yMode val="edge"/>
          <c:x val="0.39398191892680079"/>
          <c:y val="1.5384615384615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444444444444444"/>
          <c:y val="1.0256410256410256E-2"/>
          <c:w val="0.75"/>
          <c:h val="0.48888888888888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FinPerform!$A$208</c:f>
              <c:strCache>
                <c:ptCount val="1"/>
                <c:pt idx="0">
                  <c:v>Corporate Services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FinPerform!$B$208:$K$208</c:f>
              <c:numCache>
                <c:formatCode>#\ ###\ ;\(#\ ###\ \)</c:formatCode>
                <c:ptCount val="10"/>
                <c:pt idx="0">
                  <c:v>735000</c:v>
                </c:pt>
                <c:pt idx="1">
                  <c:v>790000</c:v>
                </c:pt>
                <c:pt idx="2">
                  <c:v>800000</c:v>
                </c:pt>
                <c:pt idx="3">
                  <c:v>890000</c:v>
                </c:pt>
                <c:pt idx="5">
                  <c:v>890000</c:v>
                </c:pt>
                <c:pt idx="6">
                  <c:v>890000</c:v>
                </c:pt>
                <c:pt idx="7">
                  <c:v>33391000</c:v>
                </c:pt>
                <c:pt idx="8">
                  <c:v>10967000</c:v>
                </c:pt>
                <c:pt idx="9">
                  <c:v>11018000</c:v>
                </c:pt>
              </c:numCache>
            </c:numRef>
          </c:val>
        </c:ser>
        <c:ser>
          <c:idx val="1"/>
          <c:order val="1"/>
          <c:tx>
            <c:strRef>
              <c:f>FinPerform!$A$209</c:f>
              <c:strCache>
                <c:ptCount val="1"/>
                <c:pt idx="0">
                  <c:v>Environmental Protection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FinPerform!$B$209:$K$209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FinPerform!$A$210</c:f>
              <c:strCache>
                <c:ptCount val="1"/>
                <c:pt idx="0">
                  <c:v>Waste Water Management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FinPerform!$B$210:$K$210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FinPerform!$A$211</c:f>
              <c:strCache>
                <c:ptCount val="1"/>
                <c:pt idx="0">
                  <c:v>Executive &amp; Council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FinPerform!$B$211:$K$211</c:f>
              <c:numCache>
                <c:formatCode>#\ ###\ ;\(#\ ###\ \)</c:formatCode>
                <c:ptCount val="10"/>
                <c:pt idx="0">
                  <c:v>11331000</c:v>
                </c:pt>
                <c:pt idx="1">
                  <c:v>10946000</c:v>
                </c:pt>
                <c:pt idx="2">
                  <c:v>10213000</c:v>
                </c:pt>
                <c:pt idx="3">
                  <c:v>37507000</c:v>
                </c:pt>
                <c:pt idx="5">
                  <c:v>37507000</c:v>
                </c:pt>
                <c:pt idx="6">
                  <c:v>37507000</c:v>
                </c:pt>
                <c:pt idx="7">
                  <c:v>11985000</c:v>
                </c:pt>
                <c:pt idx="8">
                  <c:v>12042000</c:v>
                </c:pt>
                <c:pt idx="9">
                  <c:v>13867000</c:v>
                </c:pt>
              </c:numCache>
            </c:numRef>
          </c:val>
        </c:ser>
        <c:ser>
          <c:idx val="4"/>
          <c:order val="4"/>
          <c:tx>
            <c:strRef>
              <c:f>FinPerform!$A$212</c:f>
              <c:strCache>
                <c:ptCount val="1"/>
                <c:pt idx="0">
                  <c:v>Sport and Recreation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FinPerform!$B$212:$K$212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FinPerform!$A$213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FinPerform!$B$213:$K$213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tx>
            <c:strRef>
              <c:f>FinPerform!$A$214</c:f>
              <c:strCache>
                <c:ptCount val="1"/>
                <c:pt idx="0">
                  <c:v>Community &amp; Social Services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FinPerform!$B$214:$K$214</c:f>
              <c:numCache>
                <c:formatCode>#\ ###\ ;\(#\ ###\ \)</c:formatCode>
                <c:ptCount val="10"/>
                <c:pt idx="0">
                  <c:v>13724000</c:v>
                </c:pt>
                <c:pt idx="1">
                  <c:v>3013000</c:v>
                </c:pt>
                <c:pt idx="2">
                  <c:v>3036000</c:v>
                </c:pt>
                <c:pt idx="3">
                  <c:v>3036000</c:v>
                </c:pt>
                <c:pt idx="5">
                  <c:v>3036000</c:v>
                </c:pt>
                <c:pt idx="6">
                  <c:v>3036000</c:v>
                </c:pt>
                <c:pt idx="7">
                  <c:v>7268000</c:v>
                </c:pt>
                <c:pt idx="8">
                  <c:v>6702000</c:v>
                </c:pt>
                <c:pt idx="9">
                  <c:v>7037000</c:v>
                </c:pt>
              </c:numCache>
            </c:numRef>
          </c:val>
        </c:ser>
        <c:ser>
          <c:idx val="7"/>
          <c:order val="7"/>
          <c:tx>
            <c:strRef>
              <c:f>FinPerform!$A$215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FinPerform!$B$215:$K$215</c:f>
              <c:numCache>
                <c:formatCode>#\ ###\ ;\(#\ ###\ \)</c:formatCode>
                <c:ptCount val="10"/>
                <c:pt idx="0">
                  <c:v>13617000</c:v>
                </c:pt>
                <c:pt idx="1">
                  <c:v>2923000</c:v>
                </c:pt>
                <c:pt idx="2">
                  <c:v>2947000</c:v>
                </c:pt>
                <c:pt idx="3">
                  <c:v>3200000</c:v>
                </c:pt>
                <c:pt idx="5">
                  <c:v>3200000</c:v>
                </c:pt>
                <c:pt idx="6">
                  <c:v>3200000</c:v>
                </c:pt>
                <c:pt idx="7">
                  <c:v>3200000</c:v>
                </c:pt>
                <c:pt idx="8">
                  <c:v>3392000</c:v>
                </c:pt>
                <c:pt idx="9">
                  <c:v>3562000</c:v>
                </c:pt>
              </c:numCache>
            </c:numRef>
          </c:val>
        </c:ser>
        <c:ser>
          <c:idx val="8"/>
          <c:order val="8"/>
          <c:tx>
            <c:strRef>
              <c:f>FinPerform!$A$216</c:f>
              <c:strCache>
                <c:ptCount val="1"/>
                <c:pt idx="0">
                  <c:v>Public Services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FinPerform!$B$216:$K$216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9"/>
          <c:order val="9"/>
          <c:tx>
            <c:strRef>
              <c:f>FinPerform!$A$217</c:f>
              <c:strCache>
                <c:ptCount val="1"/>
                <c:pt idx="0">
                  <c:v>Planning &amp; Development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FinPerform!$B$217:$K$217</c:f>
              <c:numCache>
                <c:formatCode>#\ ###\ ;\(#\ ###\ \)</c:formatCode>
                <c:ptCount val="10"/>
                <c:pt idx="0">
                  <c:v>28279000</c:v>
                </c:pt>
                <c:pt idx="1">
                  <c:v>25826000</c:v>
                </c:pt>
                <c:pt idx="2">
                  <c:v>21843000</c:v>
                </c:pt>
                <c:pt idx="3">
                  <c:v>18129000</c:v>
                </c:pt>
                <c:pt idx="5">
                  <c:v>18129000</c:v>
                </c:pt>
                <c:pt idx="6">
                  <c:v>18129000</c:v>
                </c:pt>
                <c:pt idx="7">
                  <c:v>20010000</c:v>
                </c:pt>
                <c:pt idx="8">
                  <c:v>19808000</c:v>
                </c:pt>
                <c:pt idx="9">
                  <c:v>20522000</c:v>
                </c:pt>
              </c:numCache>
            </c:numRef>
          </c:val>
        </c:ser>
        <c:ser>
          <c:idx val="10"/>
          <c:order val="10"/>
          <c:tx>
            <c:strRef>
              <c:f>FinPerform!$A$218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FinPerform!$B$218:$K$218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1"/>
          <c:order val="11"/>
          <c:tx>
            <c:strRef>
              <c:f>FinPerform!$A$219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FinPerform!$B$219:$K$219</c:f>
              <c:numCache>
                <c:formatCode>#\ ###\ ;\(#\ ###\ \)</c:formatCode>
                <c:ptCount val="10"/>
                <c:pt idx="0">
                  <c:v>5036000</c:v>
                </c:pt>
                <c:pt idx="1">
                  <c:v>6555000</c:v>
                </c:pt>
                <c:pt idx="2">
                  <c:v>7660000</c:v>
                </c:pt>
                <c:pt idx="3">
                  <c:v>7449000</c:v>
                </c:pt>
                <c:pt idx="5">
                  <c:v>7449000</c:v>
                </c:pt>
                <c:pt idx="6">
                  <c:v>7449000</c:v>
                </c:pt>
                <c:pt idx="7">
                  <c:v>8655000</c:v>
                </c:pt>
                <c:pt idx="8">
                  <c:v>8655000</c:v>
                </c:pt>
                <c:pt idx="9">
                  <c:v>9250000</c:v>
                </c:pt>
              </c:numCache>
            </c:numRef>
          </c:val>
        </c:ser>
        <c:ser>
          <c:idx val="12"/>
          <c:order val="12"/>
          <c:tx>
            <c:strRef>
              <c:f>FinPerform!$A$220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FinPerform!$B$220:$K$220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3"/>
          <c:order val="13"/>
          <c:tx>
            <c:strRef>
              <c:f>FinPerform!$A$221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FinPerform!$B$221:$K$221</c:f>
              <c:numCache>
                <c:formatCode>#\ ###\ ;\(#\ ###\ \)</c:formatCode>
                <c:ptCount val="10"/>
                <c:pt idx="0">
                  <c:v>44082000</c:v>
                </c:pt>
                <c:pt idx="1">
                  <c:v>69669000</c:v>
                </c:pt>
                <c:pt idx="2">
                  <c:v>93810000</c:v>
                </c:pt>
                <c:pt idx="3">
                  <c:v>94326000</c:v>
                </c:pt>
                <c:pt idx="5">
                  <c:v>94326000</c:v>
                </c:pt>
                <c:pt idx="6">
                  <c:v>94326000</c:v>
                </c:pt>
                <c:pt idx="7">
                  <c:v>81961000</c:v>
                </c:pt>
                <c:pt idx="8">
                  <c:v>87932000</c:v>
                </c:pt>
                <c:pt idx="9">
                  <c:v>92331000</c:v>
                </c:pt>
              </c:numCache>
            </c:numRef>
          </c:val>
        </c:ser>
        <c:ser>
          <c:idx val="14"/>
          <c:order val="14"/>
          <c:tx>
            <c:strRef>
              <c:f>FinPerform!$A$222</c:f>
              <c:strCache>
                <c:ptCount val="1"/>
                <c:pt idx="0">
                  <c:v>Budget &amp; Treasury Office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FinPerform!$B$222:$K$222</c:f>
              <c:numCache>
                <c:formatCode>#\ ###\ ;\(#\ ###\ \)</c:formatCode>
                <c:ptCount val="10"/>
                <c:pt idx="0">
                  <c:v>27981000</c:v>
                </c:pt>
                <c:pt idx="1">
                  <c:v>33287000</c:v>
                </c:pt>
                <c:pt idx="2">
                  <c:v>34137000</c:v>
                </c:pt>
                <c:pt idx="3">
                  <c:v>37736000</c:v>
                </c:pt>
                <c:pt idx="5">
                  <c:v>37736000</c:v>
                </c:pt>
                <c:pt idx="6">
                  <c:v>37736000</c:v>
                </c:pt>
                <c:pt idx="7">
                  <c:v>42901000</c:v>
                </c:pt>
                <c:pt idx="8">
                  <c:v>40862000</c:v>
                </c:pt>
                <c:pt idx="9">
                  <c:v>50002000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7684800"/>
        <c:axId val="277685192"/>
      </c:barChart>
      <c:catAx>
        <c:axId val="2776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7685192"/>
        <c:crosses val="autoZero"/>
        <c:auto val="1"/>
        <c:lblAlgn val="ctr"/>
        <c:lblOffset val="100"/>
        <c:tickMarkSkip val="1"/>
        <c:noMultiLvlLbl val="0"/>
      </c:catAx>
      <c:valAx>
        <c:axId val="277685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0.10833347914843977"/>
              <c:y val="0.2752142136079144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7684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standard classification - Chart A4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00027126772904"/>
          <c:y val="4.5075125208681135E-2"/>
          <c:w val="0.79444552198014595"/>
          <c:h val="0.52420701168614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FinPerform!$A$263</c:f>
              <c:strCache>
                <c:ptCount val="1"/>
                <c:pt idx="0">
                  <c:v>Corporate Services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FinPerform!$B$263:$K$263</c:f>
              <c:numCache>
                <c:formatCode>#\ ###\ ;\(#\ ###\ \)</c:formatCode>
                <c:ptCount val="10"/>
                <c:pt idx="0">
                  <c:v>10142000</c:v>
                </c:pt>
                <c:pt idx="1">
                  <c:v>11560000</c:v>
                </c:pt>
                <c:pt idx="2">
                  <c:v>13903000</c:v>
                </c:pt>
                <c:pt idx="3">
                  <c:v>14781000</c:v>
                </c:pt>
                <c:pt idx="4">
                  <c:v>0</c:v>
                </c:pt>
                <c:pt idx="5">
                  <c:v>14781000</c:v>
                </c:pt>
                <c:pt idx="6">
                  <c:v>14781000</c:v>
                </c:pt>
                <c:pt idx="7">
                  <c:v>14782000</c:v>
                </c:pt>
                <c:pt idx="8">
                  <c:v>15521000</c:v>
                </c:pt>
                <c:pt idx="9">
                  <c:v>16297000</c:v>
                </c:pt>
              </c:numCache>
            </c:numRef>
          </c:val>
        </c:ser>
        <c:ser>
          <c:idx val="1"/>
          <c:order val="1"/>
          <c:tx>
            <c:strRef>
              <c:f>FinPerform!$A$264</c:f>
              <c:strCache>
                <c:ptCount val="1"/>
                <c:pt idx="0">
                  <c:v>Environmental Protection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FinPerform!$B$264:$K$264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FinPerform!$A$265</c:f>
              <c:strCache>
                <c:ptCount val="1"/>
                <c:pt idx="0">
                  <c:v>Executive &amp; Council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FinPerform!$B$265:$K$265</c:f>
              <c:numCache>
                <c:formatCode>#\ ###\ ;\(#\ ###\ \)</c:formatCode>
                <c:ptCount val="10"/>
                <c:pt idx="0">
                  <c:v>21239000</c:v>
                </c:pt>
                <c:pt idx="1">
                  <c:v>24582000</c:v>
                </c:pt>
                <c:pt idx="2">
                  <c:v>26616000</c:v>
                </c:pt>
                <c:pt idx="3">
                  <c:v>37972000</c:v>
                </c:pt>
                <c:pt idx="4">
                  <c:v>0</c:v>
                </c:pt>
                <c:pt idx="5">
                  <c:v>37972000</c:v>
                </c:pt>
                <c:pt idx="6">
                  <c:v>37972000</c:v>
                </c:pt>
                <c:pt idx="7">
                  <c:v>32071000</c:v>
                </c:pt>
                <c:pt idx="8">
                  <c:v>33675000</c:v>
                </c:pt>
                <c:pt idx="9">
                  <c:v>35359000</c:v>
                </c:pt>
              </c:numCache>
            </c:numRef>
          </c:val>
        </c:ser>
        <c:ser>
          <c:idx val="3"/>
          <c:order val="3"/>
          <c:tx>
            <c:strRef>
              <c:f>FinPerform!$A$266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FinPerform!$B$266:$K$266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FinPerform!$A$267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FinPerform!$B$267:$K$267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FinPerform!$A$268</c:f>
              <c:strCache>
                <c:ptCount val="1"/>
                <c:pt idx="0">
                  <c:v>Community &amp; Social Services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FinPerform!$B$268:$K$268</c:f>
              <c:numCache>
                <c:formatCode>#\ ###\ ;\(#\ ###\ \)</c:formatCode>
                <c:ptCount val="10"/>
                <c:pt idx="0">
                  <c:v>1692000</c:v>
                </c:pt>
                <c:pt idx="1">
                  <c:v>1824000</c:v>
                </c:pt>
                <c:pt idx="2">
                  <c:v>1598000</c:v>
                </c:pt>
                <c:pt idx="3">
                  <c:v>1416000</c:v>
                </c:pt>
                <c:pt idx="5">
                  <c:v>1416000</c:v>
                </c:pt>
                <c:pt idx="6">
                  <c:v>1416000</c:v>
                </c:pt>
                <c:pt idx="7">
                  <c:v>2241000</c:v>
                </c:pt>
                <c:pt idx="8">
                  <c:v>2387000</c:v>
                </c:pt>
                <c:pt idx="9">
                  <c:v>2547000</c:v>
                </c:pt>
              </c:numCache>
            </c:numRef>
          </c:val>
        </c:ser>
        <c:ser>
          <c:idx val="6"/>
          <c:order val="6"/>
          <c:tx>
            <c:strRef>
              <c:f>FinPerform!$A$269</c:f>
              <c:strCache>
                <c:ptCount val="1"/>
                <c:pt idx="0">
                  <c:v>Planning &amp;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FinPerform!$B$269:$K$269</c:f>
              <c:numCache>
                <c:formatCode>#\ ###\ ;\(#\ ###\ \)</c:formatCode>
                <c:ptCount val="10"/>
                <c:pt idx="0">
                  <c:v>20119000</c:v>
                </c:pt>
                <c:pt idx="1">
                  <c:v>23637000</c:v>
                </c:pt>
                <c:pt idx="2">
                  <c:v>28266000</c:v>
                </c:pt>
                <c:pt idx="3">
                  <c:v>34197000</c:v>
                </c:pt>
                <c:pt idx="5">
                  <c:v>34197000</c:v>
                </c:pt>
                <c:pt idx="6">
                  <c:v>34197000</c:v>
                </c:pt>
                <c:pt idx="7">
                  <c:v>46004000</c:v>
                </c:pt>
                <c:pt idx="8">
                  <c:v>41412000</c:v>
                </c:pt>
                <c:pt idx="9">
                  <c:v>43658000</c:v>
                </c:pt>
              </c:numCache>
            </c:numRef>
          </c:val>
        </c:ser>
        <c:ser>
          <c:idx val="7"/>
          <c:order val="7"/>
          <c:tx>
            <c:strRef>
              <c:f>FinPerform!$A$270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FinPerform!$B$270:$K$270</c:f>
              <c:numCache>
                <c:formatCode>#\ ###\ ;\(#\ ###\ \)</c:formatCode>
                <c:ptCount val="10"/>
                <c:pt idx="0">
                  <c:v>6600000</c:v>
                </c:pt>
                <c:pt idx="1">
                  <c:v>7402000</c:v>
                </c:pt>
                <c:pt idx="2">
                  <c:v>13221000</c:v>
                </c:pt>
                <c:pt idx="3">
                  <c:v>8894000</c:v>
                </c:pt>
                <c:pt idx="5">
                  <c:v>8894000</c:v>
                </c:pt>
                <c:pt idx="6">
                  <c:v>8894000</c:v>
                </c:pt>
                <c:pt idx="7">
                  <c:v>10139000</c:v>
                </c:pt>
                <c:pt idx="8">
                  <c:v>10646000</c:v>
                </c:pt>
                <c:pt idx="9">
                  <c:v>11178000</c:v>
                </c:pt>
              </c:numCache>
            </c:numRef>
          </c:val>
        </c:ser>
        <c:ser>
          <c:idx val="8"/>
          <c:order val="8"/>
          <c:tx>
            <c:strRef>
              <c:f>FinPerform!$A$271</c:f>
              <c:strCache>
                <c:ptCount val="1"/>
                <c:pt idx="0">
                  <c:v>Sport and Recreation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FinPerform!$B$271:$K$271</c:f>
              <c:numCache>
                <c:formatCode>#\ ###\ ;\(#\ ###\ \)</c:formatCode>
                <c:ptCount val="10"/>
                <c:pt idx="0">
                  <c:v>2499000</c:v>
                </c:pt>
                <c:pt idx="1">
                  <c:v>3285000</c:v>
                </c:pt>
                <c:pt idx="2">
                  <c:v>3391000</c:v>
                </c:pt>
                <c:pt idx="3">
                  <c:v>3547000</c:v>
                </c:pt>
                <c:pt idx="5">
                  <c:v>3547000</c:v>
                </c:pt>
                <c:pt idx="6">
                  <c:v>3547000</c:v>
                </c:pt>
                <c:pt idx="7">
                  <c:v>4698000</c:v>
                </c:pt>
                <c:pt idx="8">
                  <c:v>4700000</c:v>
                </c:pt>
                <c:pt idx="9">
                  <c:v>5000000</c:v>
                </c:pt>
              </c:numCache>
            </c:numRef>
          </c:val>
        </c:ser>
        <c:ser>
          <c:idx val="9"/>
          <c:order val="9"/>
          <c:tx>
            <c:strRef>
              <c:f>FinPerform!$A$272</c:f>
              <c:strCache>
                <c:ptCount val="1"/>
                <c:pt idx="0">
                  <c:v>Public Services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FinPerform!$B$272:$K$272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0"/>
          <c:order val="10"/>
          <c:tx>
            <c:strRef>
              <c:f>FinPerform!$A$273</c:f>
              <c:strCache>
                <c:ptCount val="1"/>
                <c:pt idx="0">
                  <c:v>Waste Water Management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FinPerform!$B$273:$K$273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1"/>
          <c:order val="11"/>
          <c:tx>
            <c:strRef>
              <c:f>FinPerform!$A$274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FinPerform!$B$274:$K$274</c:f>
              <c:numCache>
                <c:formatCode>#\ ###\ ;\(#\ ###\ \)</c:formatCode>
                <c:ptCount val="10"/>
                <c:pt idx="0">
                  <c:v>3664000</c:v>
                </c:pt>
                <c:pt idx="1">
                  <c:v>22336000</c:v>
                </c:pt>
                <c:pt idx="2">
                  <c:v>9374000</c:v>
                </c:pt>
                <c:pt idx="3">
                  <c:v>9841000</c:v>
                </c:pt>
                <c:pt idx="5">
                  <c:v>9841000</c:v>
                </c:pt>
                <c:pt idx="6">
                  <c:v>9841000</c:v>
                </c:pt>
                <c:pt idx="7">
                  <c:v>9799000</c:v>
                </c:pt>
                <c:pt idx="8">
                  <c:v>9800000</c:v>
                </c:pt>
                <c:pt idx="9">
                  <c:v>10388000</c:v>
                </c:pt>
              </c:numCache>
            </c:numRef>
          </c:val>
        </c:ser>
        <c:ser>
          <c:idx val="12"/>
          <c:order val="12"/>
          <c:tx>
            <c:strRef>
              <c:f>FinPerform!$A$275</c:f>
              <c:strCache>
                <c:ptCount val="1"/>
                <c:pt idx="0">
                  <c:v>Budget &amp; Treasury Office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FinPerform!$B$275:$K$275</c:f>
              <c:numCache>
                <c:formatCode>#\ ###\ ;\(#\ ###\ \)</c:formatCode>
                <c:ptCount val="10"/>
                <c:pt idx="0">
                  <c:v>34374000</c:v>
                </c:pt>
                <c:pt idx="1">
                  <c:v>30948000</c:v>
                </c:pt>
                <c:pt idx="2">
                  <c:v>30577000</c:v>
                </c:pt>
                <c:pt idx="3">
                  <c:v>24727000</c:v>
                </c:pt>
                <c:pt idx="5">
                  <c:v>24727000</c:v>
                </c:pt>
                <c:pt idx="6">
                  <c:v>24727000</c:v>
                </c:pt>
                <c:pt idx="7">
                  <c:v>26798000</c:v>
                </c:pt>
                <c:pt idx="8">
                  <c:v>28406000</c:v>
                </c:pt>
                <c:pt idx="9">
                  <c:v>29826000</c:v>
                </c:pt>
              </c:numCache>
            </c:numRef>
          </c:val>
        </c:ser>
        <c:ser>
          <c:idx val="13"/>
          <c:order val="13"/>
          <c:tx>
            <c:strRef>
              <c:f>FinPerform!$A$276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FinPerform!$B$276:$K$276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4"/>
          <c:order val="14"/>
          <c:tx>
            <c:strRef>
              <c:f>FinPerform!$A$277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FinPerform!$B$277:$K$277</c:f>
              <c:numCache>
                <c:formatCode>#\ ###\ ;\(#\ ###\ \)</c:formatCode>
                <c:ptCount val="10"/>
                <c:pt idx="0">
                  <c:v>30105000</c:v>
                </c:pt>
                <c:pt idx="1">
                  <c:v>37490000</c:v>
                </c:pt>
                <c:pt idx="2">
                  <c:v>54727000</c:v>
                </c:pt>
                <c:pt idx="3">
                  <c:v>50858000</c:v>
                </c:pt>
                <c:pt idx="5">
                  <c:v>50858000</c:v>
                </c:pt>
                <c:pt idx="6">
                  <c:v>50858000</c:v>
                </c:pt>
                <c:pt idx="7">
                  <c:v>49132000</c:v>
                </c:pt>
                <c:pt idx="8">
                  <c:v>30421000</c:v>
                </c:pt>
                <c:pt idx="9">
                  <c:v>31942000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107648"/>
        <c:axId val="349108040"/>
      </c:barChart>
      <c:catAx>
        <c:axId val="3491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108040"/>
        <c:crosses val="autoZero"/>
        <c:auto val="1"/>
        <c:lblAlgn val="ctr"/>
        <c:lblOffset val="100"/>
        <c:tickMarkSkip val="1"/>
        <c:noMultiLvlLbl val="0"/>
      </c:catAx>
      <c:valAx>
        <c:axId val="349108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107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Debt (borrowing) to Total Operating Revenue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8659793814433E-2"/>
          <c:y val="0"/>
          <c:w val="0.93814432989690721"/>
          <c:h val="0"/>
        </c:manualLayout>
      </c:layout>
      <c:lineChart>
        <c:grouping val="standard"/>
        <c:varyColors val="0"/>
        <c:ser>
          <c:idx val="0"/>
          <c:order val="0"/>
          <c:tx>
            <c:v>Capital budget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430984"/>
        <c:axId val="303454272"/>
      </c:lineChart>
      <c:catAx>
        <c:axId val="30143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45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454272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430984"/>
        <c:crosses val="autoZero"/>
        <c:crossBetween val="between"/>
        <c:majorUnit val="0.2"/>
        <c:minorUnit val="0.1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Depreciation + interest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2007/08 MTREF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1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455056"/>
        <c:axId val="303455448"/>
      </c:lineChart>
      <c:catAx>
        <c:axId val="3034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455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455448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455056"/>
        <c:crosses val="autoZero"/>
        <c:crossBetween val="between"/>
        <c:majorUnit val="0.05"/>
        <c:minorUnit val="0.02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Depreciation + interest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2007/08 MTREF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1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82416"/>
        <c:axId val="359382808"/>
      </c:lineChart>
      <c:catAx>
        <c:axId val="3593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82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382808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82416"/>
        <c:crosses val="autoZero"/>
        <c:crossBetween val="between"/>
        <c:majorUnit val="0.05"/>
        <c:minorUnit val="0.02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Employee costs to Total Revenue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2007/08 MTREF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23792"/>
        <c:axId val="189024184"/>
      </c:barChart>
      <c:lineChart>
        <c:grouping val="standard"/>
        <c:varyColors val="0"/>
        <c:ser>
          <c:idx val="0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24576"/>
        <c:axId val="189024968"/>
      </c:lineChart>
      <c:catAx>
        <c:axId val="189023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24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24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23792"/>
        <c:crosses val="autoZero"/>
        <c:crossBetween val="between"/>
        <c:majorUnit val="0.04"/>
        <c:minorUnit val="0.02"/>
      </c:valAx>
      <c:catAx>
        <c:axId val="18902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024968"/>
        <c:crosses val="autoZero"/>
        <c:auto val="0"/>
        <c:lblAlgn val="ctr"/>
        <c:lblOffset val="100"/>
        <c:noMultiLvlLbl val="0"/>
      </c:catAx>
      <c:valAx>
        <c:axId val="189024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24576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Repairs &amp; Maintenance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2007/08 MTREF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543312"/>
        <c:axId val="350543704"/>
      </c:barChart>
      <c:lineChart>
        <c:grouping val="standard"/>
        <c:varyColors val="0"/>
        <c:ser>
          <c:idx val="0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544096"/>
        <c:axId val="350544488"/>
      </c:lineChart>
      <c:catAx>
        <c:axId val="350543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543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0543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543312"/>
        <c:crosses val="autoZero"/>
        <c:crossBetween val="between"/>
        <c:majorUnit val="0.02"/>
        <c:minorUnit val="0.02"/>
      </c:valAx>
      <c:catAx>
        <c:axId val="350544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0544488"/>
        <c:crosses val="autoZero"/>
        <c:auto val="0"/>
        <c:lblAlgn val="ctr"/>
        <c:lblOffset val="100"/>
        <c:noMultiLvlLbl val="0"/>
      </c:catAx>
      <c:valAx>
        <c:axId val="350544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0544096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2007/08 MTREF - Capital Program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Capital budget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1"/>
          <c:order val="1"/>
          <c:tx>
            <c:v>Capital budget - Munitoria PPP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2"/>
          <c:order val="2"/>
          <c:tx>
            <c:v>Capital expenditure - own funds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3"/>
          <c:order val="3"/>
          <c:tx>
            <c:v>Capital grants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195960"/>
        <c:axId val="226196352"/>
        <c:axId val="0"/>
      </c:bar3DChart>
      <c:catAx>
        <c:axId val="22619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9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19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95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Borrowed capital ratio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#REF!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0"/>
          <c:order val="1"/>
          <c:tx>
            <c:v>Prudential Target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5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</c:numLit>
          </c: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4"/>
          <c:tx>
            <c:v/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5"/>
          <c:order val="5"/>
          <c:tx>
            <c:v/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197136"/>
        <c:axId val="226197528"/>
      </c:lineChart>
      <c:catAx>
        <c:axId val="2261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97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197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97136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Major - Chart A5(a)</a:t>
            </a:r>
          </a:p>
        </c:rich>
      </c:tx>
      <c:layout>
        <c:manualLayout>
          <c:xMode val="edge"/>
          <c:yMode val="edge"/>
          <c:x val="0.39267501159017154"/>
          <c:y val="7.3386383731211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96801112656466"/>
          <c:y val="3.4482758620689655E-2"/>
          <c:w val="0.78164116828929064"/>
          <c:h val="0.69230769230769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FinPerform!$A$16</c:f>
              <c:strCache>
                <c:ptCount val="1"/>
                <c:pt idx="0">
                  <c:v>Transfers recognised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FinPerform!$B$16:$K$16</c:f>
              <c:numCache>
                <c:formatCode>#\ ###\ ;\(#\ ###\ \)</c:formatCode>
                <c:ptCount val="10"/>
                <c:pt idx="0">
                  <c:v>34146000</c:v>
                </c:pt>
                <c:pt idx="1">
                  <c:v>46576000</c:v>
                </c:pt>
                <c:pt idx="2">
                  <c:v>34516000</c:v>
                </c:pt>
                <c:pt idx="3">
                  <c:v>37033000</c:v>
                </c:pt>
                <c:pt idx="4">
                  <c:v>0</c:v>
                </c:pt>
                <c:pt idx="5">
                  <c:v>37033000</c:v>
                </c:pt>
                <c:pt idx="6">
                  <c:v>37033000</c:v>
                </c:pt>
                <c:pt idx="7">
                  <c:v>42767000</c:v>
                </c:pt>
                <c:pt idx="8">
                  <c:v>50537000</c:v>
                </c:pt>
                <c:pt idx="9">
                  <c:v>54181000</c:v>
                </c:pt>
              </c:numCache>
            </c:numRef>
          </c:val>
        </c:ser>
        <c:ser>
          <c:idx val="1"/>
          <c:order val="1"/>
          <c:tx>
            <c:strRef>
              <c:f>FinPerform!$A$17</c:f>
              <c:strCache>
                <c:ptCount val="1"/>
                <c:pt idx="0">
                  <c:v>Service charges - water revenue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FinPerform!$B$17:$K$17</c:f>
              <c:numCache>
                <c:formatCode>#\ ###\ ;\(#\ ###\ \)</c:formatCode>
                <c:ptCount val="10"/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FinPerform!$A$18</c:f>
              <c:strCache>
                <c:ptCount val="1"/>
                <c:pt idx="0">
                  <c:v>Transfers recognised - capital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FinPerform!$B$18:$K$18</c:f>
              <c:numCache>
                <c:formatCode>#\ ###\ ;\(#\ ###\ \)</c:formatCode>
                <c:ptCount val="10"/>
                <c:pt idx="0">
                  <c:v>9665000</c:v>
                </c:pt>
                <c:pt idx="1">
                  <c:v>12039000</c:v>
                </c:pt>
                <c:pt idx="2">
                  <c:v>14604000</c:v>
                </c:pt>
                <c:pt idx="3">
                  <c:v>16844000</c:v>
                </c:pt>
                <c:pt idx="4">
                  <c:v>0</c:v>
                </c:pt>
                <c:pt idx="5">
                  <c:v>16844000</c:v>
                </c:pt>
                <c:pt idx="6">
                  <c:v>16844000</c:v>
                </c:pt>
                <c:pt idx="7">
                  <c:v>18943000</c:v>
                </c:pt>
                <c:pt idx="8">
                  <c:v>19808000</c:v>
                </c:pt>
                <c:pt idx="9">
                  <c:v>20522000</c:v>
                </c:pt>
              </c:numCache>
            </c:numRef>
          </c:val>
        </c:ser>
        <c:ser>
          <c:idx val="3"/>
          <c:order val="3"/>
          <c:tx>
            <c:strRef>
              <c:f>FinPerform!$A$19</c:f>
              <c:strCache>
                <c:ptCount val="1"/>
                <c:pt idx="0">
                  <c:v>Service charges - electricity revenue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FinPerform!$B$19:$K$19</c:f>
              <c:numCache>
                <c:formatCode>#\ ###\ ;\(#\ ###\ \)</c:formatCode>
                <c:ptCount val="10"/>
                <c:pt idx="0">
                  <c:v>53697000</c:v>
                </c:pt>
                <c:pt idx="1">
                  <c:v>69669000</c:v>
                </c:pt>
                <c:pt idx="2">
                  <c:v>93810000</c:v>
                </c:pt>
                <c:pt idx="3">
                  <c:v>90095000</c:v>
                </c:pt>
                <c:pt idx="4">
                  <c:v>0</c:v>
                </c:pt>
                <c:pt idx="5">
                  <c:v>90095000</c:v>
                </c:pt>
                <c:pt idx="6">
                  <c:v>90095000</c:v>
                </c:pt>
                <c:pt idx="7">
                  <c:v>85891000</c:v>
                </c:pt>
                <c:pt idx="8">
                  <c:v>91094000</c:v>
                </c:pt>
                <c:pt idx="9">
                  <c:v>95649000</c:v>
                </c:pt>
              </c:numCache>
            </c:numRef>
          </c:val>
        </c:ser>
        <c:ser>
          <c:idx val="4"/>
          <c:order val="4"/>
          <c:tx>
            <c:strRef>
              <c:f>FinPerform!$A$20</c:f>
              <c:strCache>
                <c:ptCount val="1"/>
                <c:pt idx="0">
                  <c:v>Property rates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FinPerform!$B$20:$K$20</c:f>
              <c:numCache>
                <c:formatCode>#\ ###\ ;\(#\ ###\ \)</c:formatCode>
                <c:ptCount val="10"/>
                <c:pt idx="0">
                  <c:v>10453000</c:v>
                </c:pt>
                <c:pt idx="1">
                  <c:v>10946000</c:v>
                </c:pt>
                <c:pt idx="2">
                  <c:v>9968000</c:v>
                </c:pt>
                <c:pt idx="3">
                  <c:v>12578000</c:v>
                </c:pt>
                <c:pt idx="4">
                  <c:v>0</c:v>
                </c:pt>
                <c:pt idx="5">
                  <c:v>12578000</c:v>
                </c:pt>
                <c:pt idx="6">
                  <c:v>12578000</c:v>
                </c:pt>
                <c:pt idx="7">
                  <c:v>11985000</c:v>
                </c:pt>
                <c:pt idx="8">
                  <c:v>12042000</c:v>
                </c:pt>
                <c:pt idx="9">
                  <c:v>13867000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98312"/>
        <c:axId val="226198704"/>
      </c:barChart>
      <c:catAx>
        <c:axId val="226198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98704"/>
        <c:crosses val="autoZero"/>
        <c:auto val="1"/>
        <c:lblAlgn val="ctr"/>
        <c:lblOffset val="100"/>
        <c:tickMarkSkip val="1"/>
        <c:noMultiLvlLbl val="0"/>
      </c:catAx>
      <c:valAx>
        <c:axId val="22619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851182197496523E-2"/>
              <c:y val="0.376657824933686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98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Minor - Chart A6</a:t>
            </a:r>
          </a:p>
        </c:rich>
      </c:tx>
      <c:layout>
        <c:manualLayout>
          <c:xMode val="edge"/>
          <c:yMode val="edge"/>
          <c:x val="0.4513893263342082"/>
          <c:y val="2.66666666666666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66666666666667"/>
          <c:y val="3.7333333333333336E-2"/>
          <c:w val="0.77916666666666667"/>
          <c:h val="0.38666666666666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</c:f>
              <c:strCache>
                <c:ptCount val="1"/>
                <c:pt idx="0">
                  <c:v>Dividends received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FinPerform!$B$2:$K$2</c:f>
              <c:numCache>
                <c:formatCode>#\ ###\ ;\(#\ ###\ \)</c:formatCode>
                <c:ptCount val="10"/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FinPerform!$A$3</c:f>
              <c:strCache>
                <c:ptCount val="1"/>
                <c:pt idx="0">
                  <c:v>Agency services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FinPerform!$B$3:$K$3</c:f>
              <c:numCache>
                <c:formatCode>#\ ###\ ;\(#\ ###\ \)</c:formatCode>
                <c:ptCount val="10"/>
                <c:pt idx="0">
                  <c:v>986000</c:v>
                </c:pt>
                <c:pt idx="1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FinPerform!$A$4</c:f>
              <c:strCache>
                <c:ptCount val="1"/>
                <c:pt idx="0">
                  <c:v>Contributions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FinPerform!$B$4:$K$4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FinPerform!$A$5</c:f>
              <c:strCache>
                <c:ptCount val="1"/>
                <c:pt idx="0">
                  <c:v>Contributed assets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FinPerform!$B$5:$K$5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FinPerform!$A$6</c:f>
              <c:strCache>
                <c:ptCount val="1"/>
                <c:pt idx="0">
                  <c:v>Licences and permits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FinPerform!$B$6:$K$6</c:f>
              <c:numCache>
                <c:formatCode>#\ ###\ ;\(#\ ###\ \)</c:formatCode>
                <c:ptCount val="10"/>
                <c:pt idx="0">
                  <c:v>2361000</c:v>
                </c:pt>
                <c:pt idx="1">
                  <c:v>2923000</c:v>
                </c:pt>
                <c:pt idx="2">
                  <c:v>1386000</c:v>
                </c:pt>
                <c:pt idx="3">
                  <c:v>1561000</c:v>
                </c:pt>
                <c:pt idx="4">
                  <c:v>0</c:v>
                </c:pt>
                <c:pt idx="5">
                  <c:v>1561000</c:v>
                </c:pt>
                <c:pt idx="6">
                  <c:v>1561000</c:v>
                </c:pt>
                <c:pt idx="7">
                  <c:v>1491000</c:v>
                </c:pt>
                <c:pt idx="8">
                  <c:v>1566000</c:v>
                </c:pt>
                <c:pt idx="9">
                  <c:v>1644000</c:v>
                </c:pt>
              </c:numCache>
            </c:numRef>
          </c:val>
        </c:ser>
        <c:ser>
          <c:idx val="5"/>
          <c:order val="5"/>
          <c:tx>
            <c:strRef>
              <c:f>FinPerform!$A$7</c:f>
              <c:strCache>
                <c:ptCount val="1"/>
                <c:pt idx="0">
                  <c:v>Gains on disposal of PPE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FinPerform!$B$7:$K$7</c:f>
              <c:numCache>
                <c:formatCode>#\ ###\ ;\(#\ ###\ \)</c:formatCode>
                <c:ptCount val="10"/>
                <c:pt idx="2">
                  <c:v>0</c:v>
                </c:pt>
                <c:pt idx="3">
                  <c:v>27928000</c:v>
                </c:pt>
                <c:pt idx="5">
                  <c:v>27928000</c:v>
                </c:pt>
                <c:pt idx="6">
                  <c:v>27928000</c:v>
                </c:pt>
                <c:pt idx="7">
                  <c:v>15970000</c:v>
                </c:pt>
                <c:pt idx="8">
                  <c:v>176000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FinPerform!$A$8</c:f>
              <c:strCache>
                <c:ptCount val="1"/>
                <c:pt idx="0">
                  <c:v>Service charges - sanitation revenue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FinPerform!$B$8:$K$8</c:f>
              <c:numCache>
                <c:formatCode>#\ ###\ ;\(#\ ###\ \)</c:formatCode>
                <c:ptCount val="10"/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FinPerform!$A$9</c:f>
              <c:strCache>
                <c:ptCount val="1"/>
                <c:pt idx="0">
                  <c:v>Interest earned - outstanding debtors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FinPerform!$B$9:$K$9</c:f>
              <c:numCache>
                <c:formatCode>#\ ###\ ;\(#\ ###\ \)</c:formatCode>
                <c:ptCount val="10"/>
                <c:pt idx="0">
                  <c:v>1448000</c:v>
                </c:pt>
                <c:pt idx="1">
                  <c:v>1565000</c:v>
                </c:pt>
                <c:pt idx="2">
                  <c:v>885000</c:v>
                </c:pt>
                <c:pt idx="3">
                  <c:v>1500000</c:v>
                </c:pt>
                <c:pt idx="4">
                  <c:v>0</c:v>
                </c:pt>
                <c:pt idx="5">
                  <c:v>1500000</c:v>
                </c:pt>
                <c:pt idx="6">
                  <c:v>1500000</c:v>
                </c:pt>
                <c:pt idx="7">
                  <c:v>750000</c:v>
                </c:pt>
                <c:pt idx="8">
                  <c:v>795000</c:v>
                </c:pt>
                <c:pt idx="9">
                  <c:v>835000</c:v>
                </c:pt>
              </c:numCache>
            </c:numRef>
          </c:val>
        </c:ser>
        <c:ser>
          <c:idx val="8"/>
          <c:order val="8"/>
          <c:tx>
            <c:strRef>
              <c:f>FinPerform!$A$10</c:f>
              <c:strCache>
                <c:ptCount val="1"/>
                <c:pt idx="0">
                  <c:v>Service charges - other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FinPerform!$B$10:$K$10</c:f>
              <c:numCache>
                <c:formatCode>#\ ###\ ;\(#\ ###\ 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FinPerform!$A$11</c:f>
              <c:strCache>
                <c:ptCount val="1"/>
                <c:pt idx="0">
                  <c:v>Rental of facilities and equipment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FinPerform!$B$11:$K$11</c:f>
              <c:numCache>
                <c:formatCode>#\ ###\ ;\(#\ ###\ \)</c:formatCode>
                <c:ptCount val="10"/>
                <c:pt idx="0">
                  <c:v>995000</c:v>
                </c:pt>
                <c:pt idx="1">
                  <c:v>206000</c:v>
                </c:pt>
                <c:pt idx="2">
                  <c:v>205000</c:v>
                </c:pt>
                <c:pt idx="3">
                  <c:v>215000</c:v>
                </c:pt>
                <c:pt idx="4">
                  <c:v>0</c:v>
                </c:pt>
                <c:pt idx="5">
                  <c:v>215000</c:v>
                </c:pt>
                <c:pt idx="6">
                  <c:v>215000</c:v>
                </c:pt>
                <c:pt idx="7">
                  <c:v>215000</c:v>
                </c:pt>
                <c:pt idx="8">
                  <c:v>228000</c:v>
                </c:pt>
                <c:pt idx="9">
                  <c:v>239000</c:v>
                </c:pt>
              </c:numCache>
            </c:numRef>
          </c:val>
        </c:ser>
        <c:ser>
          <c:idx val="10"/>
          <c:order val="10"/>
          <c:tx>
            <c:strRef>
              <c:f>FinPerform!$A$12</c:f>
              <c:strCache>
                <c:ptCount val="1"/>
                <c:pt idx="0">
                  <c:v>Service charges - refuse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FinPerform!$B$12:$K$12</c:f>
              <c:numCache>
                <c:formatCode>#\ ###\ ;\(#\ ###\ \)</c:formatCode>
                <c:ptCount val="10"/>
                <c:pt idx="0">
                  <c:v>6030000</c:v>
                </c:pt>
                <c:pt idx="1">
                  <c:v>6555000</c:v>
                </c:pt>
                <c:pt idx="2">
                  <c:v>5407000</c:v>
                </c:pt>
                <c:pt idx="3">
                  <c:v>7449000</c:v>
                </c:pt>
                <c:pt idx="4">
                  <c:v>0</c:v>
                </c:pt>
                <c:pt idx="5">
                  <c:v>7449000</c:v>
                </c:pt>
                <c:pt idx="6">
                  <c:v>7449000</c:v>
                </c:pt>
                <c:pt idx="7">
                  <c:v>8655000</c:v>
                </c:pt>
                <c:pt idx="8">
                  <c:v>8655000</c:v>
                </c:pt>
                <c:pt idx="9">
                  <c:v>9250000</c:v>
                </c:pt>
              </c:numCache>
            </c:numRef>
          </c:val>
        </c:ser>
        <c:ser>
          <c:idx val="11"/>
          <c:order val="11"/>
          <c:tx>
            <c:strRef>
              <c:f>FinPerform!$A$13</c:f>
              <c:strCache>
                <c:ptCount val="1"/>
                <c:pt idx="0">
                  <c:v>Other revenue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FinPerform!$B$13:$K$13</c:f>
              <c:numCache>
                <c:formatCode>#\ ###\ ;\(#\ ###\ \)</c:formatCode>
                <c:ptCount val="10"/>
                <c:pt idx="0">
                  <c:v>4542000</c:v>
                </c:pt>
                <c:pt idx="1">
                  <c:v>9035000</c:v>
                </c:pt>
                <c:pt idx="2">
                  <c:v>23449000</c:v>
                </c:pt>
                <c:pt idx="3">
                  <c:v>17713000</c:v>
                </c:pt>
                <c:pt idx="4">
                  <c:v>0</c:v>
                </c:pt>
                <c:pt idx="5">
                  <c:v>17713000</c:v>
                </c:pt>
                <c:pt idx="6">
                  <c:v>17713000</c:v>
                </c:pt>
                <c:pt idx="7">
                  <c:v>17704000</c:v>
                </c:pt>
                <c:pt idx="8">
                  <c:v>9967000</c:v>
                </c:pt>
                <c:pt idx="9">
                  <c:v>5837000</c:v>
                </c:pt>
              </c:numCache>
            </c:numRef>
          </c:val>
        </c:ser>
        <c:ser>
          <c:idx val="12"/>
          <c:order val="12"/>
          <c:tx>
            <c:strRef>
              <c:f>FinPerform!$A$14</c:f>
              <c:strCache>
                <c:ptCount val="1"/>
                <c:pt idx="0">
                  <c:v>Fines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FinPerform!$B$14:$K$14</c:f>
              <c:numCache>
                <c:formatCode>#\ ###\ ;\(#\ ###\ \)</c:formatCode>
                <c:ptCount val="10"/>
                <c:pt idx="0">
                  <c:v>1435000</c:v>
                </c:pt>
                <c:pt idx="1">
                  <c:v>2202000</c:v>
                </c:pt>
                <c:pt idx="2">
                  <c:v>1629000</c:v>
                </c:pt>
                <c:pt idx="3">
                  <c:v>3000000</c:v>
                </c:pt>
                <c:pt idx="4">
                  <c:v>0</c:v>
                </c:pt>
                <c:pt idx="5">
                  <c:v>3000000</c:v>
                </c:pt>
                <c:pt idx="6">
                  <c:v>3000000</c:v>
                </c:pt>
                <c:pt idx="7">
                  <c:v>1800000</c:v>
                </c:pt>
                <c:pt idx="8">
                  <c:v>1908000</c:v>
                </c:pt>
                <c:pt idx="9">
                  <c:v>2003000</c:v>
                </c:pt>
              </c:numCache>
            </c:numRef>
          </c:val>
        </c:ser>
        <c:ser>
          <c:idx val="13"/>
          <c:order val="13"/>
          <c:tx>
            <c:strRef>
              <c:f>FinPerform!$A$15</c:f>
              <c:strCache>
                <c:ptCount val="1"/>
                <c:pt idx="0">
                  <c:v>Interest earned - external investments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FinPerform!$B$15:$K$15</c:f>
              <c:numCache>
                <c:formatCode>#\ ###\ ;\(#\ ###\ \)</c:formatCode>
                <c:ptCount val="10"/>
                <c:pt idx="0">
                  <c:v>170000</c:v>
                </c:pt>
                <c:pt idx="1">
                  <c:v>546000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619088"/>
        <c:axId val="316619480"/>
      </c:barChart>
      <c:catAx>
        <c:axId val="31661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19480"/>
        <c:crosses val="autoZero"/>
        <c:auto val="1"/>
        <c:lblAlgn val="ctr"/>
        <c:lblOffset val="100"/>
        <c:tickMarkSkip val="1"/>
        <c:noMultiLvlLbl val="0"/>
      </c:catAx>
      <c:valAx>
        <c:axId val="31661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2800008398950131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190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Major - Chart A5(b) - source trend</a:t>
            </a:r>
          </a:p>
        </c:rich>
      </c:tx>
      <c:layout>
        <c:manualLayout>
          <c:xMode val="edge"/>
          <c:yMode val="edge"/>
          <c:x val="0.27499776120217984"/>
          <c:y val="5.5406685275451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79195561719832"/>
          <c:y val="3.968253968253968E-2"/>
          <c:w val="0.84882108183079052"/>
          <c:h val="0.47089947089947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FinPerform!$B$1</c:f>
              <c:strCache>
                <c:ptCount val="1"/>
                <c:pt idx="0">
                  <c:v>10/11 AUD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FinPerform!$B$16:$B$20</c:f>
              <c:numCache>
                <c:formatCode>#\ ###\ ;\(#\ ###\ \)</c:formatCode>
                <c:ptCount val="5"/>
                <c:pt idx="0">
                  <c:v>34146000</c:v>
                </c:pt>
                <c:pt idx="2">
                  <c:v>9665000</c:v>
                </c:pt>
                <c:pt idx="3">
                  <c:v>53697000</c:v>
                </c:pt>
                <c:pt idx="4">
                  <c:v>10453000</c:v>
                </c:pt>
              </c:numCache>
            </c:numRef>
          </c:val>
        </c:ser>
        <c:ser>
          <c:idx val="1"/>
          <c:order val="1"/>
          <c:tx>
            <c:strRef>
              <c:f>FinPerform!$C$1</c:f>
              <c:strCache>
                <c:ptCount val="1"/>
                <c:pt idx="0">
                  <c:v>11/12 AUD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FinPerform!$C$16:$C$20</c:f>
              <c:numCache>
                <c:formatCode>#\ ###\ ;\(#\ ###\ \)</c:formatCode>
                <c:ptCount val="5"/>
                <c:pt idx="0">
                  <c:v>46576000</c:v>
                </c:pt>
                <c:pt idx="2">
                  <c:v>12039000</c:v>
                </c:pt>
                <c:pt idx="3">
                  <c:v>69669000</c:v>
                </c:pt>
                <c:pt idx="4">
                  <c:v>10946000</c:v>
                </c:pt>
              </c:numCache>
            </c:numRef>
          </c:val>
        </c:ser>
        <c:ser>
          <c:idx val="2"/>
          <c:order val="2"/>
          <c:tx>
            <c:strRef>
              <c:f>FinPerform!$D$1</c:f>
              <c:strCache>
                <c:ptCount val="1"/>
                <c:pt idx="0">
                  <c:v> 12/13 AUD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FinPerform!$D$16:$D$20</c:f>
              <c:numCache>
                <c:formatCode>#\ ###\ ;\(#\ ###\ \)</c:formatCode>
                <c:ptCount val="5"/>
                <c:pt idx="0">
                  <c:v>34516000</c:v>
                </c:pt>
                <c:pt idx="1">
                  <c:v>0</c:v>
                </c:pt>
                <c:pt idx="2">
                  <c:v>14604000</c:v>
                </c:pt>
                <c:pt idx="3">
                  <c:v>93810000</c:v>
                </c:pt>
                <c:pt idx="4">
                  <c:v>9968000</c:v>
                </c:pt>
              </c:numCache>
            </c:numRef>
          </c:val>
        </c:ser>
        <c:ser>
          <c:idx val="3"/>
          <c:order val="3"/>
          <c:tx>
            <c:strRef>
              <c:f>FinPerform!$E$1</c:f>
              <c:strCache>
                <c:ptCount val="1"/>
                <c:pt idx="0">
                  <c:v> 13/14 BUD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FinPerform!$E$16:$E$20</c:f>
              <c:numCache>
                <c:formatCode>#\ ###\ ;\(#\ ###\ \)</c:formatCode>
                <c:ptCount val="5"/>
                <c:pt idx="0">
                  <c:v>37033000</c:v>
                </c:pt>
                <c:pt idx="1">
                  <c:v>0</c:v>
                </c:pt>
                <c:pt idx="2">
                  <c:v>16844000</c:v>
                </c:pt>
                <c:pt idx="3">
                  <c:v>90095000</c:v>
                </c:pt>
                <c:pt idx="4">
                  <c:v>12578000</c:v>
                </c:pt>
              </c:numCache>
            </c:numRef>
          </c:val>
        </c:ser>
        <c:ser>
          <c:idx val="4"/>
          <c:order val="4"/>
          <c:tx>
            <c:strRef>
              <c:f>FinPerform!$F$1</c:f>
              <c:strCache>
                <c:ptCount val="1"/>
                <c:pt idx="0">
                  <c:v>  13/14 ADJ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FinPerform!$F$16:$F$20</c:f>
              <c:numCache>
                <c:formatCode>#\ ###\ ;\(#\ ###\ \)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FinPerform!$G$1</c:f>
              <c:strCache>
                <c:ptCount val="1"/>
                <c:pt idx="0">
                  <c:v> 13/14 FCST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FinPerform!$G$16:$G$20</c:f>
              <c:numCache>
                <c:formatCode>#\ ###\ ;\(#\ ###\ \)</c:formatCode>
                <c:ptCount val="5"/>
                <c:pt idx="0">
                  <c:v>37033000</c:v>
                </c:pt>
                <c:pt idx="1">
                  <c:v>0</c:v>
                </c:pt>
                <c:pt idx="2">
                  <c:v>16844000</c:v>
                </c:pt>
                <c:pt idx="3">
                  <c:v>90095000</c:v>
                </c:pt>
                <c:pt idx="4">
                  <c:v>12578000</c:v>
                </c:pt>
              </c:numCache>
            </c:numRef>
          </c:val>
        </c:ser>
        <c:ser>
          <c:idx val="6"/>
          <c:order val="6"/>
          <c:tx>
            <c:strRef>
              <c:f>FinPerform!$H$1</c:f>
              <c:strCache>
                <c:ptCount val="1"/>
                <c:pt idx="0">
                  <c:v>13/14 ACT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FinPerform!$H$16:$H$20</c:f>
              <c:numCache>
                <c:formatCode>#\ ###\ ;\(#\ ###\ \)</c:formatCode>
                <c:ptCount val="5"/>
                <c:pt idx="0">
                  <c:v>37033000</c:v>
                </c:pt>
                <c:pt idx="2">
                  <c:v>16844000</c:v>
                </c:pt>
                <c:pt idx="3">
                  <c:v>90095000</c:v>
                </c:pt>
                <c:pt idx="4">
                  <c:v>12578000</c:v>
                </c:pt>
              </c:numCache>
            </c:numRef>
          </c:val>
        </c:ser>
        <c:ser>
          <c:idx val="7"/>
          <c:order val="7"/>
          <c:tx>
            <c:strRef>
              <c:f>FinPerform!$I$1</c:f>
              <c:strCache>
                <c:ptCount val="1"/>
                <c:pt idx="0">
                  <c:v>Budget Year 14/15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FinPerform!$I$16:$I$20</c:f>
              <c:numCache>
                <c:formatCode>#\ ###\ ;\(#\ ###\ \)</c:formatCode>
                <c:ptCount val="5"/>
                <c:pt idx="0">
                  <c:v>42767000</c:v>
                </c:pt>
                <c:pt idx="1">
                  <c:v>0</c:v>
                </c:pt>
                <c:pt idx="2">
                  <c:v>18943000</c:v>
                </c:pt>
                <c:pt idx="3">
                  <c:v>85891000</c:v>
                </c:pt>
                <c:pt idx="4">
                  <c:v>11985000</c:v>
                </c:pt>
              </c:numCache>
            </c:numRef>
          </c:val>
        </c:ser>
        <c:ser>
          <c:idx val="8"/>
          <c:order val="8"/>
          <c:tx>
            <c:strRef>
              <c:f>FinPerform!$J$1</c:f>
              <c:strCache>
                <c:ptCount val="1"/>
                <c:pt idx="0">
                  <c:v>Budget Year +1 15/16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FinPerform!$J$16:$J$20</c:f>
              <c:numCache>
                <c:formatCode>#\ ###\ ;\(#\ ###\ \)</c:formatCode>
                <c:ptCount val="5"/>
                <c:pt idx="0">
                  <c:v>50537000</c:v>
                </c:pt>
                <c:pt idx="2">
                  <c:v>19808000</c:v>
                </c:pt>
                <c:pt idx="3">
                  <c:v>91094000</c:v>
                </c:pt>
                <c:pt idx="4">
                  <c:v>12042000</c:v>
                </c:pt>
              </c:numCache>
            </c:numRef>
          </c:val>
        </c:ser>
        <c:ser>
          <c:idx val="9"/>
          <c:order val="9"/>
          <c:tx>
            <c:strRef>
              <c:f>FinPerform!$K$1</c:f>
              <c:strCache>
                <c:ptCount val="1"/>
                <c:pt idx="0">
                  <c:v>Budget Year +2 16/17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FinPerform!$K$16:$K$20</c:f>
              <c:numCache>
                <c:formatCode>#\ ###\ ;\(#\ ###\ \)</c:formatCode>
                <c:ptCount val="5"/>
                <c:pt idx="0">
                  <c:v>54181000</c:v>
                </c:pt>
                <c:pt idx="2">
                  <c:v>20522000</c:v>
                </c:pt>
                <c:pt idx="3">
                  <c:v>95649000</c:v>
                </c:pt>
                <c:pt idx="4">
                  <c:v>13867000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620656"/>
        <c:axId val="316621048"/>
      </c:barChart>
      <c:catAx>
        <c:axId val="31662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21048"/>
        <c:crosses val="autoZero"/>
        <c:auto val="1"/>
        <c:lblAlgn val="ctr"/>
        <c:lblOffset val="100"/>
        <c:tickMarkSkip val="1"/>
        <c:noMultiLvlLbl val="0"/>
      </c:catAx>
      <c:valAx>
        <c:axId val="316621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2.6352288488210817E-2"/>
              <c:y val="0.277778611006957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206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Major - Chart A7</a:t>
            </a:r>
          </a:p>
        </c:rich>
      </c:tx>
      <c:layout>
        <c:manualLayout>
          <c:xMode val="edge"/>
          <c:yMode val="edge"/>
          <c:x val="0.33055599300087485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88914508618854"/>
          <c:y val="6.3829870124810562E-2"/>
          <c:w val="0.80555664816168637"/>
          <c:h val="0.70478814929478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FinPerform!$A$82</c:f>
              <c:strCache>
                <c:ptCount val="1"/>
                <c:pt idx="0">
                  <c:v>Depreciation &amp; asset impairment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FinPerform!$B$82:$K$82</c:f>
              <c:numCache>
                <c:formatCode>#\ ###\ ;\(#\ ###\ \)</c:formatCode>
                <c:ptCount val="10"/>
                <c:pt idx="0">
                  <c:v>21603000</c:v>
                </c:pt>
                <c:pt idx="1">
                  <c:v>18528000</c:v>
                </c:pt>
                <c:pt idx="2">
                  <c:v>10172000</c:v>
                </c:pt>
                <c:pt idx="3">
                  <c:v>12000000</c:v>
                </c:pt>
                <c:pt idx="4">
                  <c:v>0</c:v>
                </c:pt>
                <c:pt idx="5">
                  <c:v>12000000</c:v>
                </c:pt>
                <c:pt idx="6">
                  <c:v>12000000</c:v>
                </c:pt>
                <c:pt idx="7">
                  <c:v>19947000</c:v>
                </c:pt>
                <c:pt idx="8">
                  <c:v>20945000</c:v>
                </c:pt>
                <c:pt idx="9">
                  <c:v>21992000</c:v>
                </c:pt>
              </c:numCache>
            </c:numRef>
          </c:val>
        </c:ser>
        <c:ser>
          <c:idx val="1"/>
          <c:order val="1"/>
          <c:tx>
            <c:strRef>
              <c:f>FinPerform!$A$83</c:f>
              <c:strCache>
                <c:ptCount val="1"/>
                <c:pt idx="0">
                  <c:v>Other expenditure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FinPerform!$B$83:$K$83</c:f>
              <c:numCache>
                <c:formatCode>#\ ###\ ;\(#\ ###\ \)</c:formatCode>
                <c:ptCount val="10"/>
                <c:pt idx="0">
                  <c:v>48174000</c:v>
                </c:pt>
                <c:pt idx="1">
                  <c:v>55915000</c:v>
                </c:pt>
                <c:pt idx="2">
                  <c:v>67963000</c:v>
                </c:pt>
                <c:pt idx="3">
                  <c:v>45251000</c:v>
                </c:pt>
                <c:pt idx="4">
                  <c:v>0</c:v>
                </c:pt>
                <c:pt idx="5">
                  <c:v>45251000</c:v>
                </c:pt>
                <c:pt idx="6">
                  <c:v>45251000</c:v>
                </c:pt>
                <c:pt idx="7">
                  <c:v>19849000</c:v>
                </c:pt>
                <c:pt idx="8">
                  <c:v>4863000</c:v>
                </c:pt>
                <c:pt idx="9">
                  <c:v>5106000</c:v>
                </c:pt>
              </c:numCache>
            </c:numRef>
          </c:val>
        </c:ser>
        <c:ser>
          <c:idx val="2"/>
          <c:order val="2"/>
          <c:tx>
            <c:strRef>
              <c:f>FinPerform!$A$84</c:f>
              <c:strCache>
                <c:ptCount val="1"/>
                <c:pt idx="0">
                  <c:v>Bulk purchases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FinPerform!$B$84:$K$84</c:f>
              <c:numCache>
                <c:formatCode>#\ ###\ ;\(#\ ###\ \)</c:formatCode>
                <c:ptCount val="10"/>
                <c:pt idx="0">
                  <c:v>24388000</c:v>
                </c:pt>
                <c:pt idx="1">
                  <c:v>34788000</c:v>
                </c:pt>
                <c:pt idx="2">
                  <c:v>39644000</c:v>
                </c:pt>
                <c:pt idx="3">
                  <c:v>40000000</c:v>
                </c:pt>
                <c:pt idx="4">
                  <c:v>0</c:v>
                </c:pt>
                <c:pt idx="5">
                  <c:v>40000000</c:v>
                </c:pt>
                <c:pt idx="6">
                  <c:v>40000000</c:v>
                </c:pt>
                <c:pt idx="7">
                  <c:v>36480000</c:v>
                </c:pt>
                <c:pt idx="8">
                  <c:v>39033000</c:v>
                </c:pt>
                <c:pt idx="9">
                  <c:v>41765000</c:v>
                </c:pt>
              </c:numCache>
            </c:numRef>
          </c:val>
        </c:ser>
        <c:ser>
          <c:idx val="3"/>
          <c:order val="3"/>
          <c:tx>
            <c:strRef>
              <c:f>FinPerform!$A$85</c:f>
              <c:strCache>
                <c:ptCount val="1"/>
                <c:pt idx="0">
                  <c:v>Employee related costs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FinPerform!$B$85:$K$85</c:f>
              <c:numCache>
                <c:formatCode>#\ ###\ ;\(#\ ###\ \)</c:formatCode>
                <c:ptCount val="10"/>
                <c:pt idx="0">
                  <c:v>32641000</c:v>
                </c:pt>
                <c:pt idx="1">
                  <c:v>42249000</c:v>
                </c:pt>
                <c:pt idx="2">
                  <c:v>54334000</c:v>
                </c:pt>
                <c:pt idx="3">
                  <c:v>78781000</c:v>
                </c:pt>
                <c:pt idx="4">
                  <c:v>0</c:v>
                </c:pt>
                <c:pt idx="5">
                  <c:v>78781000</c:v>
                </c:pt>
                <c:pt idx="6">
                  <c:v>78781000</c:v>
                </c:pt>
                <c:pt idx="7">
                  <c:v>81279000</c:v>
                </c:pt>
                <c:pt idx="8">
                  <c:v>81892000</c:v>
                </c:pt>
                <c:pt idx="9">
                  <c:v>75332000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622224"/>
        <c:axId val="316622616"/>
      </c:barChart>
      <c:catAx>
        <c:axId val="3166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22616"/>
        <c:crosses val="autoZero"/>
        <c:auto val="1"/>
        <c:lblAlgn val="ctr"/>
        <c:lblOffset val="100"/>
        <c:tickMarkSkip val="1"/>
        <c:noMultiLvlLbl val="0"/>
      </c:catAx>
      <c:valAx>
        <c:axId val="31662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3936175797174288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6622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Major - Chart A7</a:t>
            </a:r>
          </a:p>
        </c:rich>
      </c:tx>
      <c:layout>
        <c:manualLayout>
          <c:xMode val="edge"/>
          <c:yMode val="edge"/>
          <c:x val="0.33102493074792244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50969529085873"/>
          <c:y val="1.5957446808510637E-2"/>
          <c:w val="0.84210526315789469"/>
          <c:h val="0.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FinPerform!$B$1</c:f>
              <c:strCache>
                <c:ptCount val="1"/>
                <c:pt idx="0">
                  <c:v>10/11 AUD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FinPerform!$B$82:$B$85</c:f>
              <c:numCache>
                <c:formatCode>#\ ###\ ;\(#\ ###\ \)</c:formatCode>
                <c:ptCount val="4"/>
                <c:pt idx="0">
                  <c:v>21603000</c:v>
                </c:pt>
                <c:pt idx="1">
                  <c:v>48174000</c:v>
                </c:pt>
                <c:pt idx="2">
                  <c:v>24388000</c:v>
                </c:pt>
                <c:pt idx="3">
                  <c:v>32641000</c:v>
                </c:pt>
              </c:numCache>
            </c:numRef>
          </c:val>
        </c:ser>
        <c:ser>
          <c:idx val="1"/>
          <c:order val="1"/>
          <c:tx>
            <c:strRef>
              <c:f>FinPerform!$C$1</c:f>
              <c:strCache>
                <c:ptCount val="1"/>
                <c:pt idx="0">
                  <c:v>11/12 AUD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FinPerform!$C$82:$C$85</c:f>
              <c:numCache>
                <c:formatCode>#\ ###\ ;\(#\ ###\ \)</c:formatCode>
                <c:ptCount val="4"/>
                <c:pt idx="0">
                  <c:v>18528000</c:v>
                </c:pt>
                <c:pt idx="1">
                  <c:v>55915000</c:v>
                </c:pt>
                <c:pt idx="2">
                  <c:v>34788000</c:v>
                </c:pt>
                <c:pt idx="3">
                  <c:v>42249000</c:v>
                </c:pt>
              </c:numCache>
            </c:numRef>
          </c:val>
        </c:ser>
        <c:ser>
          <c:idx val="2"/>
          <c:order val="2"/>
          <c:tx>
            <c:strRef>
              <c:f>FinPerform!$D$1</c:f>
              <c:strCache>
                <c:ptCount val="1"/>
                <c:pt idx="0">
                  <c:v> 12/13 AUD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FinPerform!$D$82:$D$85</c:f>
              <c:numCache>
                <c:formatCode>#\ ###\ ;\(#\ ###\ \)</c:formatCode>
                <c:ptCount val="4"/>
                <c:pt idx="0">
                  <c:v>10172000</c:v>
                </c:pt>
                <c:pt idx="1">
                  <c:v>67963000</c:v>
                </c:pt>
                <c:pt idx="2">
                  <c:v>39644000</c:v>
                </c:pt>
                <c:pt idx="3">
                  <c:v>54334000</c:v>
                </c:pt>
              </c:numCache>
            </c:numRef>
          </c:val>
        </c:ser>
        <c:ser>
          <c:idx val="3"/>
          <c:order val="3"/>
          <c:tx>
            <c:strRef>
              <c:f>FinPerform!$E$1</c:f>
              <c:strCache>
                <c:ptCount val="1"/>
                <c:pt idx="0">
                  <c:v> 13/14 BUD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FinPerform!$E$82:$E$85</c:f>
              <c:numCache>
                <c:formatCode>#\ ###\ ;\(#\ ###\ \)</c:formatCode>
                <c:ptCount val="4"/>
                <c:pt idx="0">
                  <c:v>12000000</c:v>
                </c:pt>
                <c:pt idx="1">
                  <c:v>45251000</c:v>
                </c:pt>
                <c:pt idx="2">
                  <c:v>40000000</c:v>
                </c:pt>
                <c:pt idx="3">
                  <c:v>78781000</c:v>
                </c:pt>
              </c:numCache>
            </c:numRef>
          </c:val>
        </c:ser>
        <c:ser>
          <c:idx val="4"/>
          <c:order val="4"/>
          <c:tx>
            <c:strRef>
              <c:f>FinPerform!$F$1</c:f>
              <c:strCache>
                <c:ptCount val="1"/>
                <c:pt idx="0">
                  <c:v>  13/14 ADJ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FinPerform!$F$82:$F$85</c:f>
              <c:numCache>
                <c:formatCode>#\ ###\ ;\(#\ ###\ 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FinPerform!$G$1</c:f>
              <c:strCache>
                <c:ptCount val="1"/>
                <c:pt idx="0">
                  <c:v> 13/14 FCST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FinPerform!$G$82:$G$85</c:f>
              <c:numCache>
                <c:formatCode>#\ ###\ ;\(#\ ###\ \)</c:formatCode>
                <c:ptCount val="4"/>
                <c:pt idx="0">
                  <c:v>12000000</c:v>
                </c:pt>
                <c:pt idx="1">
                  <c:v>45251000</c:v>
                </c:pt>
                <c:pt idx="2">
                  <c:v>40000000</c:v>
                </c:pt>
                <c:pt idx="3">
                  <c:v>78781000</c:v>
                </c:pt>
              </c:numCache>
            </c:numRef>
          </c:val>
        </c:ser>
        <c:ser>
          <c:idx val="6"/>
          <c:order val="6"/>
          <c:tx>
            <c:strRef>
              <c:f>FinPerform!$H$1</c:f>
              <c:strCache>
                <c:ptCount val="1"/>
                <c:pt idx="0">
                  <c:v>13/14 ACT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FinPerform!$H$82:$H$85</c:f>
              <c:numCache>
                <c:formatCode>#\ ###\ ;\(#\ ###\ \)</c:formatCode>
                <c:ptCount val="4"/>
                <c:pt idx="0">
                  <c:v>12000000</c:v>
                </c:pt>
                <c:pt idx="1">
                  <c:v>45251000</c:v>
                </c:pt>
                <c:pt idx="2">
                  <c:v>40000000</c:v>
                </c:pt>
                <c:pt idx="3">
                  <c:v>78781000</c:v>
                </c:pt>
              </c:numCache>
            </c:numRef>
          </c:val>
        </c:ser>
        <c:ser>
          <c:idx val="7"/>
          <c:order val="7"/>
          <c:tx>
            <c:strRef>
              <c:f>FinPerform!$I$1</c:f>
              <c:strCache>
                <c:ptCount val="1"/>
                <c:pt idx="0">
                  <c:v>Budget Year 14/15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FinPerform!$I$82:$I$85</c:f>
              <c:numCache>
                <c:formatCode>#\ ###\ ;\(#\ ###\ \)</c:formatCode>
                <c:ptCount val="4"/>
                <c:pt idx="0">
                  <c:v>19947000</c:v>
                </c:pt>
                <c:pt idx="1">
                  <c:v>19849000</c:v>
                </c:pt>
                <c:pt idx="2">
                  <c:v>36480000</c:v>
                </c:pt>
                <c:pt idx="3">
                  <c:v>81279000</c:v>
                </c:pt>
              </c:numCache>
            </c:numRef>
          </c:val>
        </c:ser>
        <c:ser>
          <c:idx val="8"/>
          <c:order val="8"/>
          <c:tx>
            <c:strRef>
              <c:f>FinPerform!$J$1</c:f>
              <c:strCache>
                <c:ptCount val="1"/>
                <c:pt idx="0">
                  <c:v>Budget Year +1 15/16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FinPerform!$J$82:$J$85</c:f>
              <c:numCache>
                <c:formatCode>#\ ###\ ;\(#\ ###\ \)</c:formatCode>
                <c:ptCount val="4"/>
                <c:pt idx="0">
                  <c:v>20945000</c:v>
                </c:pt>
                <c:pt idx="1">
                  <c:v>4863000</c:v>
                </c:pt>
                <c:pt idx="2">
                  <c:v>39033000</c:v>
                </c:pt>
                <c:pt idx="3">
                  <c:v>81892000</c:v>
                </c:pt>
              </c:numCache>
            </c:numRef>
          </c:val>
        </c:ser>
        <c:ser>
          <c:idx val="9"/>
          <c:order val="9"/>
          <c:tx>
            <c:strRef>
              <c:f>FinPerform!$K$1</c:f>
              <c:strCache>
                <c:ptCount val="1"/>
                <c:pt idx="0">
                  <c:v>Budget Year +2 16/17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FinPerform!$A$82:$A$85</c:f>
              <c:strCache>
                <c:ptCount val="4"/>
                <c:pt idx="0">
                  <c:v>Depreciation &amp; asset impairment</c:v>
                </c:pt>
                <c:pt idx="1">
                  <c:v>Other expenditure</c:v>
                </c:pt>
                <c:pt idx="2">
                  <c:v>Bulk purchases</c:v>
                </c:pt>
                <c:pt idx="3">
                  <c:v>Employee related costs</c:v>
                </c:pt>
              </c:strCache>
            </c:strRef>
          </c:cat>
          <c:val>
            <c:numRef>
              <c:f>FinPerform!$K$82:$K$85</c:f>
              <c:numCache>
                <c:formatCode>#\ ###\ ;\(#\ ###\ \)</c:formatCode>
                <c:ptCount val="4"/>
                <c:pt idx="0">
                  <c:v>21992000</c:v>
                </c:pt>
                <c:pt idx="1">
                  <c:v>5106000</c:v>
                </c:pt>
                <c:pt idx="2">
                  <c:v>41765000</c:v>
                </c:pt>
                <c:pt idx="3">
                  <c:v>75332000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112016"/>
        <c:axId val="307112408"/>
      </c:barChart>
      <c:catAx>
        <c:axId val="30711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12408"/>
        <c:crosses val="autoZero"/>
        <c:auto val="1"/>
        <c:lblAlgn val="ctr"/>
        <c:lblOffset val="100"/>
        <c:tickMarkSkip val="1"/>
        <c:noMultiLvlLbl val="0"/>
      </c:catAx>
      <c:valAx>
        <c:axId val="307112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631578947368418E-2"/>
              <c:y val="0.295213045177863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12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Type - Minor - Chart A7</a:t>
            </a:r>
          </a:p>
        </c:rich>
      </c:tx>
      <c:layout>
        <c:manualLayout>
          <c:xMode val="edge"/>
          <c:yMode val="edge"/>
          <c:x val="0.36388932633420823"/>
          <c:y val="2.673796791443850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05578349580011"/>
          <c:y val="6.4171122994652413E-2"/>
          <c:w val="0.82639000975207488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FinPerform!$A$75</c:f>
              <c:strCache>
                <c:ptCount val="1"/>
                <c:pt idx="0">
                  <c:v>Other materials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FinPerform!$B$75:$K$75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4340000</c:v>
                </c:pt>
                <c:pt idx="8">
                  <c:v>4557000</c:v>
                </c:pt>
                <c:pt idx="9">
                  <c:v>4784000</c:v>
                </c:pt>
              </c:numCache>
            </c:numRef>
          </c:val>
        </c:ser>
        <c:ser>
          <c:idx val="1"/>
          <c:order val="1"/>
          <c:tx>
            <c:strRef>
              <c:f>FinPerform!$A$76</c:f>
              <c:strCache>
                <c:ptCount val="1"/>
                <c:pt idx="0">
                  <c:v>Loss on disposal of PPE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FinPerform!$B$76:$K$76</c:f>
              <c:numCache>
                <c:formatCode>#\ ###\ ;\(#\ ###\ \)</c:formatCode>
                <c:ptCount val="10"/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FinPerform!$A$77</c:f>
              <c:strCache>
                <c:ptCount val="1"/>
                <c:pt idx="0">
                  <c:v>Remuneration of councillors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FinPerform!$B$77:$K$77</c:f>
              <c:numCache>
                <c:formatCode>#\ ###\ ;\(#\ ###\ \)</c:formatCode>
                <c:ptCount val="10"/>
                <c:pt idx="0">
                  <c:v>2713000</c:v>
                </c:pt>
                <c:pt idx="1">
                  <c:v>3396000</c:v>
                </c:pt>
                <c:pt idx="2">
                  <c:v>5280000</c:v>
                </c:pt>
                <c:pt idx="3">
                  <c:v>3451000</c:v>
                </c:pt>
                <c:pt idx="4">
                  <c:v>0</c:v>
                </c:pt>
                <c:pt idx="5">
                  <c:v>3451000</c:v>
                </c:pt>
                <c:pt idx="6">
                  <c:v>3451000</c:v>
                </c:pt>
                <c:pt idx="7">
                  <c:v>5408000</c:v>
                </c:pt>
                <c:pt idx="8">
                  <c:v>5733000</c:v>
                </c:pt>
                <c:pt idx="9">
                  <c:v>6134000</c:v>
                </c:pt>
              </c:numCache>
            </c:numRef>
          </c:val>
        </c:ser>
        <c:ser>
          <c:idx val="3"/>
          <c:order val="3"/>
          <c:tx>
            <c:strRef>
              <c:f>FinPerform!$A$78</c:f>
              <c:strCache>
                <c:ptCount val="1"/>
                <c:pt idx="0">
                  <c:v>Grants and subsidies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FinPerform!$B$78:$K$78</c:f>
              <c:numCache>
                <c:formatCode>#\ ###\ ;\(#\ ###\ \)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FinPerform!$A$79</c:f>
              <c:strCache>
                <c:ptCount val="1"/>
                <c:pt idx="0">
                  <c:v>Debt impairment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FinPerform!$B$79:$K$79</c:f>
              <c:numCache>
                <c:formatCode>#\ ###\ ;\(#\ ###\ \)</c:formatCode>
                <c:ptCount val="10"/>
                <c:pt idx="0">
                  <c:v>100000</c:v>
                </c:pt>
                <c:pt idx="1">
                  <c:v>976000</c:v>
                </c:pt>
                <c:pt idx="2">
                  <c:v>1136000</c:v>
                </c:pt>
                <c:pt idx="3">
                  <c:v>500000</c:v>
                </c:pt>
                <c:pt idx="4">
                  <c:v>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525000</c:v>
                </c:pt>
                <c:pt idx="9">
                  <c:v>551000</c:v>
                </c:pt>
              </c:numCache>
            </c:numRef>
          </c:val>
        </c:ser>
        <c:ser>
          <c:idx val="5"/>
          <c:order val="5"/>
          <c:tx>
            <c:strRef>
              <c:f>FinPerform!$A$80</c:f>
              <c:strCache>
                <c:ptCount val="1"/>
                <c:pt idx="0">
                  <c:v>Contracted services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FinPerform!$B$80:$K$80</c:f>
              <c:numCache>
                <c:formatCode>#\ ###\ ;\(#\ ###\ \)</c:formatCode>
                <c:ptCount val="10"/>
                <c:pt idx="0">
                  <c:v>2290000</c:v>
                </c:pt>
                <c:pt idx="1">
                  <c:v>4106000</c:v>
                </c:pt>
                <c:pt idx="2">
                  <c:v>3000000</c:v>
                </c:pt>
                <c:pt idx="3">
                  <c:v>5451000</c:v>
                </c:pt>
                <c:pt idx="4">
                  <c:v>0</c:v>
                </c:pt>
                <c:pt idx="5">
                  <c:v>5451000</c:v>
                </c:pt>
                <c:pt idx="6">
                  <c:v>5451000</c:v>
                </c:pt>
                <c:pt idx="7">
                  <c:v>8069000</c:v>
                </c:pt>
                <c:pt idx="8">
                  <c:v>8528000</c:v>
                </c:pt>
                <c:pt idx="9">
                  <c:v>9070000</c:v>
                </c:pt>
              </c:numCache>
            </c:numRef>
          </c:val>
        </c:ser>
        <c:ser>
          <c:idx val="6"/>
          <c:order val="6"/>
          <c:tx>
            <c:strRef>
              <c:f>FinPerform!$A$81</c:f>
              <c:strCache>
                <c:ptCount val="1"/>
                <c:pt idx="0">
                  <c:v>Finance charges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FinPerform!$B$81:$K$81</c:f>
              <c:numCache>
                <c:formatCode>#\ ###\ ;\(#\ ###\ \)</c:formatCode>
                <c:ptCount val="10"/>
                <c:pt idx="0">
                  <c:v>0</c:v>
                </c:pt>
                <c:pt idx="1">
                  <c:v>52000</c:v>
                </c:pt>
                <c:pt idx="2">
                  <c:v>142000</c:v>
                </c:pt>
                <c:pt idx="3">
                  <c:v>800000</c:v>
                </c:pt>
                <c:pt idx="4">
                  <c:v>0</c:v>
                </c:pt>
                <c:pt idx="5">
                  <c:v>800000</c:v>
                </c:pt>
                <c:pt idx="6">
                  <c:v>800000</c:v>
                </c:pt>
                <c:pt idx="7">
                  <c:v>849000</c:v>
                </c:pt>
                <c:pt idx="8">
                  <c:v>891000</c:v>
                </c:pt>
                <c:pt idx="9">
                  <c:v>939000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113584"/>
        <c:axId val="307113976"/>
      </c:barChart>
      <c:catAx>
        <c:axId val="3071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13976"/>
        <c:crosses val="autoZero"/>
        <c:auto val="1"/>
        <c:lblAlgn val="ctr"/>
        <c:lblOffset val="100"/>
        <c:tickMarkSkip val="1"/>
        <c:noMultiLvlLbl val="0"/>
      </c:catAx>
      <c:valAx>
        <c:axId val="307113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3368983957219251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13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Employee costs to Total Revenue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2007/08 MTREF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383592"/>
        <c:axId val="310607072"/>
      </c:barChart>
      <c:lineChart>
        <c:grouping val="standard"/>
        <c:varyColors val="0"/>
        <c:ser>
          <c:idx val="0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7464"/>
        <c:axId val="310607856"/>
      </c:lineChart>
      <c:catAx>
        <c:axId val="359383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607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607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83592"/>
        <c:crosses val="autoZero"/>
        <c:crossBetween val="between"/>
        <c:majorUnit val="0.04"/>
        <c:minorUnit val="0.02"/>
      </c:valAx>
      <c:catAx>
        <c:axId val="310607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07856"/>
        <c:crosses val="autoZero"/>
        <c:auto val="0"/>
        <c:lblAlgn val="ctr"/>
        <c:lblOffset val="100"/>
        <c:noMultiLvlLbl val="0"/>
      </c:catAx>
      <c:valAx>
        <c:axId val="310607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10607464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Municipal Vote classification - Chart A1</a:t>
            </a:r>
          </a:p>
        </c:rich>
      </c:tx>
      <c:layout>
        <c:manualLayout>
          <c:xMode val="edge"/>
          <c:yMode val="edge"/>
          <c:x val="0.31849791376912379"/>
          <c:y val="5.2584670231729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45062586926285"/>
          <c:y val="6.4171122994652413E-2"/>
          <c:w val="0.78998609179415857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FinPerform!$A$140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FinPerform!$B$140:$K$140</c:f>
              <c:numCache>
                <c:formatCode>#\ ###\ ;\(#\ ###\ \)</c:formatCode>
                <c:ptCount val="10"/>
                <c:pt idx="0">
                  <c:v>11331000</c:v>
                </c:pt>
                <c:pt idx="1">
                  <c:v>10946000</c:v>
                </c:pt>
                <c:pt idx="2">
                  <c:v>10213000</c:v>
                </c:pt>
                <c:pt idx="3">
                  <c:v>37506000</c:v>
                </c:pt>
                <c:pt idx="4">
                  <c:v>0</c:v>
                </c:pt>
                <c:pt idx="5">
                  <c:v>37506000</c:v>
                </c:pt>
                <c:pt idx="6">
                  <c:v>37506000</c:v>
                </c:pt>
                <c:pt idx="7">
                  <c:v>49651000</c:v>
                </c:pt>
                <c:pt idx="8">
                  <c:v>22109000</c:v>
                </c:pt>
                <c:pt idx="9">
                  <c:v>23956000</c:v>
                </c:pt>
              </c:numCache>
            </c:numRef>
          </c:val>
        </c:ser>
        <c:ser>
          <c:idx val="1"/>
          <c:order val="1"/>
          <c:tx>
            <c:strRef>
              <c:f>FinPerform!$A$141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FinPerform!$B$141:$K$141</c:f>
              <c:numCache>
                <c:formatCode>#\ ###\ ;\(#\ ###\ \)</c:formatCode>
                <c:ptCount val="10"/>
                <c:pt idx="0">
                  <c:v>28716000</c:v>
                </c:pt>
                <c:pt idx="1">
                  <c:v>34077000</c:v>
                </c:pt>
                <c:pt idx="2">
                  <c:v>34693000</c:v>
                </c:pt>
                <c:pt idx="3">
                  <c:v>39510000</c:v>
                </c:pt>
                <c:pt idx="4">
                  <c:v>0</c:v>
                </c:pt>
                <c:pt idx="5">
                  <c:v>39510000</c:v>
                </c:pt>
                <c:pt idx="6">
                  <c:v>39510000</c:v>
                </c:pt>
                <c:pt idx="7">
                  <c:v>38626000</c:v>
                </c:pt>
                <c:pt idx="8">
                  <c:v>41796000</c:v>
                </c:pt>
                <c:pt idx="9">
                  <c:v>50969000</c:v>
                </c:pt>
              </c:numCache>
            </c:numRef>
          </c:val>
        </c:ser>
        <c:ser>
          <c:idx val="2"/>
          <c:order val="2"/>
          <c:tx>
            <c:strRef>
              <c:f>FinPerform!$A$142</c:f>
              <c:strCache>
                <c:ptCount val="1"/>
                <c:pt idx="0">
                  <c:v>Community Services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FinPerform!$B$142:$K$142</c:f>
              <c:numCache>
                <c:formatCode>#\ ###\ ;\(#\ ###\ \)</c:formatCode>
                <c:ptCount val="10"/>
                <c:pt idx="0">
                  <c:v>13724000</c:v>
                </c:pt>
                <c:pt idx="1">
                  <c:v>3012000</c:v>
                </c:pt>
                <c:pt idx="2">
                  <c:v>3036000</c:v>
                </c:pt>
                <c:pt idx="3">
                  <c:v>3298000</c:v>
                </c:pt>
                <c:pt idx="4">
                  <c:v>0</c:v>
                </c:pt>
                <c:pt idx="5">
                  <c:v>3298000</c:v>
                </c:pt>
                <c:pt idx="6">
                  <c:v>3298000</c:v>
                </c:pt>
                <c:pt idx="7">
                  <c:v>3298000</c:v>
                </c:pt>
                <c:pt idx="8">
                  <c:v>3463000</c:v>
                </c:pt>
                <c:pt idx="9">
                  <c:v>3636000</c:v>
                </c:pt>
              </c:numCache>
            </c:numRef>
          </c:val>
        </c:ser>
        <c:ser>
          <c:idx val="3"/>
          <c:order val="3"/>
          <c:tx>
            <c:strRef>
              <c:f>FinPerform!$A$143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FinPerform!$B$143:$K$143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FinPerform!$A$144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FinPerform!$B$144:$K$144</c:f>
              <c:numCache>
                <c:formatCode>#\ ###\ ;\(#\ ###\ \)</c:formatCode>
                <c:ptCount val="10"/>
                <c:pt idx="0">
                  <c:v>5036000</c:v>
                </c:pt>
                <c:pt idx="1">
                  <c:v>6555000</c:v>
                </c:pt>
                <c:pt idx="2">
                  <c:v>7660000</c:v>
                </c:pt>
                <c:pt idx="3">
                  <c:v>7449000</c:v>
                </c:pt>
                <c:pt idx="4">
                  <c:v>0</c:v>
                </c:pt>
                <c:pt idx="5">
                  <c:v>7449000</c:v>
                </c:pt>
                <c:pt idx="6">
                  <c:v>7449000</c:v>
                </c:pt>
                <c:pt idx="7">
                  <c:v>8655000</c:v>
                </c:pt>
                <c:pt idx="8">
                  <c:v>8655000</c:v>
                </c:pt>
                <c:pt idx="9">
                  <c:v>9250000</c:v>
                </c:pt>
              </c:numCache>
            </c:numRef>
          </c:val>
        </c:ser>
        <c:ser>
          <c:idx val="5"/>
          <c:order val="5"/>
          <c:tx>
            <c:strRef>
              <c:f>FinPerform!$A$145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FinPerform!$B$145:$K$145</c:f>
              <c:numCache>
                <c:formatCode>#\ ###\ ;\(#\ ###\ \)</c:formatCode>
                <c:ptCount val="10"/>
                <c:pt idx="0">
                  <c:v>44082000</c:v>
                </c:pt>
                <c:pt idx="1">
                  <c:v>69669000</c:v>
                </c:pt>
                <c:pt idx="2">
                  <c:v>93810000</c:v>
                </c:pt>
                <c:pt idx="3">
                  <c:v>90095000</c:v>
                </c:pt>
                <c:pt idx="4">
                  <c:v>0</c:v>
                </c:pt>
                <c:pt idx="5">
                  <c:v>90095000</c:v>
                </c:pt>
                <c:pt idx="6">
                  <c:v>90095000</c:v>
                </c:pt>
                <c:pt idx="7">
                  <c:v>85891000</c:v>
                </c:pt>
                <c:pt idx="8">
                  <c:v>91094000</c:v>
                </c:pt>
                <c:pt idx="9">
                  <c:v>95649000</c:v>
                </c:pt>
              </c:numCache>
            </c:numRef>
          </c:val>
        </c:ser>
        <c:ser>
          <c:idx val="6"/>
          <c:order val="6"/>
          <c:tx>
            <c:strRef>
              <c:f>FinPerform!$A$146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FinPerform!$B$146:$K$146</c:f>
              <c:numCache>
                <c:formatCode>#\ ###\ ;\(#\ ###\ \)</c:formatCode>
                <c:ptCount val="10"/>
                <c:pt idx="0">
                  <c:v>28279000</c:v>
                </c:pt>
                <c:pt idx="1">
                  <c:v>25827000</c:v>
                </c:pt>
                <c:pt idx="2">
                  <c:v>21843000</c:v>
                </c:pt>
                <c:pt idx="3">
                  <c:v>21215000</c:v>
                </c:pt>
                <c:pt idx="4">
                  <c:v>0</c:v>
                </c:pt>
                <c:pt idx="5">
                  <c:v>21215000</c:v>
                </c:pt>
                <c:pt idx="6">
                  <c:v>21215000</c:v>
                </c:pt>
                <c:pt idx="7">
                  <c:v>20050000</c:v>
                </c:pt>
                <c:pt idx="8">
                  <c:v>19851000</c:v>
                </c:pt>
                <c:pt idx="9">
                  <c:v>20567000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691176"/>
        <c:axId val="284691568"/>
      </c:barChart>
      <c:catAx>
        <c:axId val="284691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91568"/>
        <c:crosses val="autoZero"/>
        <c:auto val="1"/>
        <c:lblAlgn val="ctr"/>
        <c:lblOffset val="100"/>
        <c:tickMarkSkip val="1"/>
        <c:noMultiLvlLbl val="0"/>
      </c:catAx>
      <c:valAx>
        <c:axId val="28469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805285118219746E-2"/>
              <c:y val="0.3368983957219251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91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Municipal Vote - Chart A2a</a:t>
            </a:r>
          </a:p>
        </c:rich>
      </c:tx>
      <c:layout>
        <c:manualLayout>
          <c:xMode val="edge"/>
          <c:yMode val="edge"/>
          <c:x val="0.3527782152230971"/>
          <c:y val="8.11051693404634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16694358580673"/>
          <c:y val="6.4171122994652413E-2"/>
          <c:w val="0.79027884966206818"/>
          <c:h val="0.590909090909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FinPerform!$A$174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FinPerform!$B$174:$K$174</c:f>
              <c:numCache>
                <c:formatCode>#\ ###\ ;\(#\ ###\ \)</c:formatCode>
                <c:ptCount val="10"/>
                <c:pt idx="0">
                  <c:v>21239000</c:v>
                </c:pt>
                <c:pt idx="1">
                  <c:v>24857000</c:v>
                </c:pt>
                <c:pt idx="2">
                  <c:v>32733000</c:v>
                </c:pt>
                <c:pt idx="3">
                  <c:v>30808000</c:v>
                </c:pt>
                <c:pt idx="4">
                  <c:v>0</c:v>
                </c:pt>
                <c:pt idx="5">
                  <c:v>30808000</c:v>
                </c:pt>
                <c:pt idx="6">
                  <c:v>30808000</c:v>
                </c:pt>
                <c:pt idx="7">
                  <c:v>34249000</c:v>
                </c:pt>
                <c:pt idx="8">
                  <c:v>27797000</c:v>
                </c:pt>
                <c:pt idx="9">
                  <c:v>27774000</c:v>
                </c:pt>
              </c:numCache>
            </c:numRef>
          </c:val>
        </c:ser>
        <c:ser>
          <c:idx val="1"/>
          <c:order val="1"/>
          <c:tx>
            <c:strRef>
              <c:f>FinPerform!$A$175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FinPerform!$B$175:$K$175</c:f>
              <c:numCache>
                <c:formatCode>#\ ###\ ;\(#\ ###\ \)</c:formatCode>
                <c:ptCount val="10"/>
                <c:pt idx="0">
                  <c:v>44516000</c:v>
                </c:pt>
                <c:pt idx="1">
                  <c:v>42508000</c:v>
                </c:pt>
                <c:pt idx="2">
                  <c:v>44841000</c:v>
                </c:pt>
                <c:pt idx="3">
                  <c:v>48827000</c:v>
                </c:pt>
                <c:pt idx="5">
                  <c:v>48827000</c:v>
                </c:pt>
                <c:pt idx="6">
                  <c:v>48827000</c:v>
                </c:pt>
                <c:pt idx="7">
                  <c:v>56951000</c:v>
                </c:pt>
                <c:pt idx="8">
                  <c:v>50350000</c:v>
                </c:pt>
                <c:pt idx="9">
                  <c:v>52170000</c:v>
                </c:pt>
              </c:numCache>
            </c:numRef>
          </c:val>
        </c:ser>
        <c:ser>
          <c:idx val="2"/>
          <c:order val="2"/>
          <c:tx>
            <c:strRef>
              <c:f>FinPerform!$A$176</c:f>
              <c:strCache>
                <c:ptCount val="1"/>
                <c:pt idx="0">
                  <c:v>Community Services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FinPerform!$B$176:$K$176</c:f>
              <c:numCache>
                <c:formatCode>#\ ###\ ;\(#\ ###\ \)</c:formatCode>
                <c:ptCount val="10"/>
                <c:pt idx="0">
                  <c:v>2297000</c:v>
                </c:pt>
                <c:pt idx="1">
                  <c:v>2175000</c:v>
                </c:pt>
                <c:pt idx="2">
                  <c:v>11645000</c:v>
                </c:pt>
                <c:pt idx="3">
                  <c:v>11380000</c:v>
                </c:pt>
                <c:pt idx="5">
                  <c:v>11380000</c:v>
                </c:pt>
                <c:pt idx="6">
                  <c:v>11380000</c:v>
                </c:pt>
                <c:pt idx="7">
                  <c:v>12350000</c:v>
                </c:pt>
                <c:pt idx="8">
                  <c:v>12808000</c:v>
                </c:pt>
                <c:pt idx="9">
                  <c:v>13137000</c:v>
                </c:pt>
              </c:numCache>
            </c:numRef>
          </c:val>
        </c:ser>
        <c:ser>
          <c:idx val="3"/>
          <c:order val="3"/>
          <c:tx>
            <c:strRef>
              <c:f>FinPerform!$A$177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FinPerform!$B$177:$K$177</c:f>
              <c:numCache>
                <c:formatCode>#\ ###\ ;\(#\ ###\ \)</c:formatCode>
                <c:ptCount val="10"/>
                <c:pt idx="0">
                  <c:v>2499000</c:v>
                </c:pt>
                <c:pt idx="1">
                  <c:v>3285000</c:v>
                </c:pt>
                <c:pt idx="2">
                  <c:v>3391000</c:v>
                </c:pt>
                <c:pt idx="3">
                  <c:v>3547000</c:v>
                </c:pt>
                <c:pt idx="5">
                  <c:v>3547000</c:v>
                </c:pt>
                <c:pt idx="6">
                  <c:v>3547000</c:v>
                </c:pt>
                <c:pt idx="7">
                  <c:v>3547000</c:v>
                </c:pt>
                <c:pt idx="8">
                  <c:v>3725000</c:v>
                </c:pt>
                <c:pt idx="9">
                  <c:v>3911000</c:v>
                </c:pt>
              </c:numCache>
            </c:numRef>
          </c:val>
        </c:ser>
        <c:ser>
          <c:idx val="4"/>
          <c:order val="4"/>
          <c:tx>
            <c:strRef>
              <c:f>FinPerform!$A$178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FinPerform!$B$178:$K$178</c:f>
              <c:numCache>
                <c:formatCode>#\ ###\ ;\(#\ ###\ \)</c:formatCode>
                <c:ptCount val="10"/>
                <c:pt idx="0">
                  <c:v>6600000</c:v>
                </c:pt>
                <c:pt idx="1">
                  <c:v>7402000</c:v>
                </c:pt>
                <c:pt idx="2">
                  <c:v>13221000</c:v>
                </c:pt>
                <c:pt idx="3">
                  <c:v>13221000</c:v>
                </c:pt>
                <c:pt idx="5">
                  <c:v>13221000</c:v>
                </c:pt>
                <c:pt idx="6">
                  <c:v>13221000</c:v>
                </c:pt>
                <c:pt idx="7">
                  <c:v>8894000</c:v>
                </c:pt>
                <c:pt idx="8">
                  <c:v>9339000</c:v>
                </c:pt>
                <c:pt idx="9">
                  <c:v>9806000</c:v>
                </c:pt>
              </c:numCache>
            </c:numRef>
          </c:val>
        </c:ser>
        <c:ser>
          <c:idx val="5"/>
          <c:order val="5"/>
          <c:tx>
            <c:strRef>
              <c:f>FinPerform!$A$179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FinPerform!$B$179:$K$179</c:f>
              <c:numCache>
                <c:formatCode>#\ ###\ ;\(#\ ###\ \)</c:formatCode>
                <c:ptCount val="10"/>
                <c:pt idx="0">
                  <c:v>30105000</c:v>
                </c:pt>
                <c:pt idx="1">
                  <c:v>37490000</c:v>
                </c:pt>
                <c:pt idx="2">
                  <c:v>54727000</c:v>
                </c:pt>
                <c:pt idx="3">
                  <c:v>50858000</c:v>
                </c:pt>
                <c:pt idx="5">
                  <c:v>50858000</c:v>
                </c:pt>
                <c:pt idx="6">
                  <c:v>50858000</c:v>
                </c:pt>
                <c:pt idx="7">
                  <c:v>50858000</c:v>
                </c:pt>
                <c:pt idx="8">
                  <c:v>53401000</c:v>
                </c:pt>
                <c:pt idx="9">
                  <c:v>56071000</c:v>
                </c:pt>
              </c:numCache>
            </c:numRef>
          </c:val>
        </c:ser>
        <c:ser>
          <c:idx val="6"/>
          <c:order val="6"/>
          <c:tx>
            <c:strRef>
              <c:f>FinPerform!$A$180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FinPerform!$B$180:$K$180</c:f>
              <c:numCache>
                <c:formatCode>#\ ###\ ;\(#\ ###\ \)</c:formatCode>
                <c:ptCount val="10"/>
                <c:pt idx="0">
                  <c:v>23178000</c:v>
                </c:pt>
                <c:pt idx="1">
                  <c:v>45347000</c:v>
                </c:pt>
                <c:pt idx="2">
                  <c:v>21113000</c:v>
                </c:pt>
                <c:pt idx="3">
                  <c:v>27592000</c:v>
                </c:pt>
                <c:pt idx="5">
                  <c:v>27592000</c:v>
                </c:pt>
                <c:pt idx="6">
                  <c:v>27592000</c:v>
                </c:pt>
                <c:pt idx="7">
                  <c:v>28815000</c:v>
                </c:pt>
                <c:pt idx="8">
                  <c:v>19548000</c:v>
                </c:pt>
                <c:pt idx="9">
                  <c:v>23326000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693136"/>
        <c:axId val="284693528"/>
      </c:barChart>
      <c:catAx>
        <c:axId val="2846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93528"/>
        <c:crosses val="autoZero"/>
        <c:auto val="1"/>
        <c:lblAlgn val="ctr"/>
        <c:lblOffset val="100"/>
        <c:tickMarkSkip val="1"/>
        <c:noMultiLvlLbl val="0"/>
      </c:catAx>
      <c:valAx>
        <c:axId val="284693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6.8055701370661997E-2"/>
              <c:y val="0.3342245989304812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93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by Municipal Vote - Chart A2 (b Trend)</a:t>
            </a:r>
          </a:p>
        </c:rich>
      </c:tx>
      <c:layout>
        <c:manualLayout>
          <c:xMode val="edge"/>
          <c:yMode val="edge"/>
          <c:x val="0.39335180055401664"/>
          <c:y val="5.2444444444444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991689750692521"/>
          <c:y val="3.2000000000000001E-2"/>
          <c:w val="0.76454293628808867"/>
          <c:h val="0.6186666666666667"/>
        </c:manualLayout>
      </c:layout>
      <c:lineChart>
        <c:grouping val="standard"/>
        <c:varyColors val="0"/>
        <c:ser>
          <c:idx val="0"/>
          <c:order val="0"/>
          <c:tx>
            <c:strRef>
              <c:f>FinPerform!$A$174</c:f>
              <c:strCache>
                <c:ptCount val="1"/>
                <c:pt idx="0">
                  <c:v>Executive and Council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FinPerform!$B$174:$K$174</c:f>
              <c:numCache>
                <c:formatCode>#\ ###\ ;\(#\ ###\ \)</c:formatCode>
                <c:ptCount val="10"/>
                <c:pt idx="0">
                  <c:v>21239000</c:v>
                </c:pt>
                <c:pt idx="1">
                  <c:v>24857000</c:v>
                </c:pt>
                <c:pt idx="2">
                  <c:v>32733000</c:v>
                </c:pt>
                <c:pt idx="3">
                  <c:v>30808000</c:v>
                </c:pt>
                <c:pt idx="4">
                  <c:v>0</c:v>
                </c:pt>
                <c:pt idx="5">
                  <c:v>30808000</c:v>
                </c:pt>
                <c:pt idx="6">
                  <c:v>30808000</c:v>
                </c:pt>
                <c:pt idx="7">
                  <c:v>34249000</c:v>
                </c:pt>
                <c:pt idx="8">
                  <c:v>27797000</c:v>
                </c:pt>
                <c:pt idx="9">
                  <c:v>27774000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FinPerform!$A$175</c:f>
              <c:strCache>
                <c:ptCount val="1"/>
                <c:pt idx="0">
                  <c:v>Finance and Admininstartion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FinPerform!$B$175:$K$175</c:f>
              <c:numCache>
                <c:formatCode>#\ ###\ ;\(#\ ###\ \)</c:formatCode>
                <c:ptCount val="10"/>
                <c:pt idx="0">
                  <c:v>44516000</c:v>
                </c:pt>
                <c:pt idx="1">
                  <c:v>42508000</c:v>
                </c:pt>
                <c:pt idx="2">
                  <c:v>44841000</c:v>
                </c:pt>
                <c:pt idx="3">
                  <c:v>48827000</c:v>
                </c:pt>
                <c:pt idx="5">
                  <c:v>48827000</c:v>
                </c:pt>
                <c:pt idx="6">
                  <c:v>48827000</c:v>
                </c:pt>
                <c:pt idx="7">
                  <c:v>56951000</c:v>
                </c:pt>
                <c:pt idx="8">
                  <c:v>50350000</c:v>
                </c:pt>
                <c:pt idx="9">
                  <c:v>52170000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FinPerform!$A$176</c:f>
              <c:strCache>
                <c:ptCount val="1"/>
                <c:pt idx="0">
                  <c:v>Community Services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FinPerform!$B$176:$K$176</c:f>
              <c:numCache>
                <c:formatCode>#\ ###\ ;\(#\ ###\ \)</c:formatCode>
                <c:ptCount val="10"/>
                <c:pt idx="0">
                  <c:v>2297000</c:v>
                </c:pt>
                <c:pt idx="1">
                  <c:v>2175000</c:v>
                </c:pt>
                <c:pt idx="2">
                  <c:v>11645000</c:v>
                </c:pt>
                <c:pt idx="3">
                  <c:v>11380000</c:v>
                </c:pt>
                <c:pt idx="5">
                  <c:v>11380000</c:v>
                </c:pt>
                <c:pt idx="6">
                  <c:v>11380000</c:v>
                </c:pt>
                <c:pt idx="7">
                  <c:v>12350000</c:v>
                </c:pt>
                <c:pt idx="8">
                  <c:v>12808000</c:v>
                </c:pt>
                <c:pt idx="9">
                  <c:v>13137000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FinPerform!$A$177</c:f>
              <c:strCache>
                <c:ptCount val="1"/>
                <c:pt idx="0">
                  <c:v>Sports and Recreation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FinPerform!$B$177:$K$177</c:f>
              <c:numCache>
                <c:formatCode>#\ ###\ ;\(#\ ###\ \)</c:formatCode>
                <c:ptCount val="10"/>
                <c:pt idx="0">
                  <c:v>2499000</c:v>
                </c:pt>
                <c:pt idx="1">
                  <c:v>3285000</c:v>
                </c:pt>
                <c:pt idx="2">
                  <c:v>3391000</c:v>
                </c:pt>
                <c:pt idx="3">
                  <c:v>3547000</c:v>
                </c:pt>
                <c:pt idx="5">
                  <c:v>3547000</c:v>
                </c:pt>
                <c:pt idx="6">
                  <c:v>3547000</c:v>
                </c:pt>
                <c:pt idx="7">
                  <c:v>3547000</c:v>
                </c:pt>
                <c:pt idx="8">
                  <c:v>3725000</c:v>
                </c:pt>
                <c:pt idx="9">
                  <c:v>3911000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FinPerform!$A$178</c:f>
              <c:strCache>
                <c:ptCount val="1"/>
                <c:pt idx="0">
                  <c:v>Waste Management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FinPerform!$B$178:$K$178</c:f>
              <c:numCache>
                <c:formatCode>#\ ###\ ;\(#\ ###\ \)</c:formatCode>
                <c:ptCount val="10"/>
                <c:pt idx="0">
                  <c:v>6600000</c:v>
                </c:pt>
                <c:pt idx="1">
                  <c:v>7402000</c:v>
                </c:pt>
                <c:pt idx="2">
                  <c:v>13221000</c:v>
                </c:pt>
                <c:pt idx="3">
                  <c:v>13221000</c:v>
                </c:pt>
                <c:pt idx="5">
                  <c:v>13221000</c:v>
                </c:pt>
                <c:pt idx="6">
                  <c:v>13221000</c:v>
                </c:pt>
                <c:pt idx="7">
                  <c:v>8894000</c:v>
                </c:pt>
                <c:pt idx="8">
                  <c:v>9339000</c:v>
                </c:pt>
                <c:pt idx="9">
                  <c:v>9806000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FinPerform!$A$179</c:f>
              <c:strCache>
                <c:ptCount val="1"/>
                <c:pt idx="0">
                  <c:v>Electricity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FinPerform!$B$179:$K$179</c:f>
              <c:numCache>
                <c:formatCode>#\ ###\ ;\(#\ ###\ \)</c:formatCode>
                <c:ptCount val="10"/>
                <c:pt idx="0">
                  <c:v>30105000</c:v>
                </c:pt>
                <c:pt idx="1">
                  <c:v>37490000</c:v>
                </c:pt>
                <c:pt idx="2">
                  <c:v>54727000</c:v>
                </c:pt>
                <c:pt idx="3">
                  <c:v>50858000</c:v>
                </c:pt>
                <c:pt idx="5">
                  <c:v>50858000</c:v>
                </c:pt>
                <c:pt idx="6">
                  <c:v>50858000</c:v>
                </c:pt>
                <c:pt idx="7">
                  <c:v>50858000</c:v>
                </c:pt>
                <c:pt idx="8">
                  <c:v>53401000</c:v>
                </c:pt>
                <c:pt idx="9">
                  <c:v>56071000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FinPerform!$A$180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FinPerform!$B$180:$K$180</c:f>
              <c:numCache>
                <c:formatCode>#\ ###\ ;\(#\ ###\ \)</c:formatCode>
                <c:ptCount val="10"/>
                <c:pt idx="0">
                  <c:v>23178000</c:v>
                </c:pt>
                <c:pt idx="1">
                  <c:v>45347000</c:v>
                </c:pt>
                <c:pt idx="2">
                  <c:v>21113000</c:v>
                </c:pt>
                <c:pt idx="3">
                  <c:v>27592000</c:v>
                </c:pt>
                <c:pt idx="5">
                  <c:v>27592000</c:v>
                </c:pt>
                <c:pt idx="6">
                  <c:v>27592000</c:v>
                </c:pt>
                <c:pt idx="7">
                  <c:v>28815000</c:v>
                </c:pt>
                <c:pt idx="8">
                  <c:v>19548000</c:v>
                </c:pt>
                <c:pt idx="9">
                  <c:v>23326000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694312"/>
        <c:axId val="284694704"/>
      </c:lineChart>
      <c:catAx>
        <c:axId val="28469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94704"/>
        <c:crosses val="autoZero"/>
        <c:auto val="1"/>
        <c:lblAlgn val="ctr"/>
        <c:lblOffset val="100"/>
        <c:tickMarkSkip val="1"/>
        <c:noMultiLvlLbl val="0"/>
      </c:catAx>
      <c:valAx>
        <c:axId val="28469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332409972299165E-2"/>
              <c:y val="0.34133417322834647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694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standard classification - Chart A3</a:t>
            </a:r>
          </a:p>
        </c:rich>
      </c:tx>
      <c:layout>
        <c:manualLayout>
          <c:xMode val="edge"/>
          <c:yMode val="edge"/>
          <c:x val="0.39398191892680079"/>
          <c:y val="1.5384615384615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444444444444444"/>
          <c:y val="1.0256410256410256E-2"/>
          <c:w val="0.75"/>
          <c:h val="0.48888888888888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FinPerform!$A$208</c:f>
              <c:strCache>
                <c:ptCount val="1"/>
                <c:pt idx="0">
                  <c:v>Corporate Services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FinPerform!$B$208:$K$208</c:f>
              <c:numCache>
                <c:formatCode>#\ ###\ ;\(#\ ###\ \)</c:formatCode>
                <c:ptCount val="10"/>
                <c:pt idx="0">
                  <c:v>735000</c:v>
                </c:pt>
                <c:pt idx="1">
                  <c:v>790000</c:v>
                </c:pt>
                <c:pt idx="2">
                  <c:v>800000</c:v>
                </c:pt>
                <c:pt idx="3">
                  <c:v>890000</c:v>
                </c:pt>
                <c:pt idx="5">
                  <c:v>890000</c:v>
                </c:pt>
                <c:pt idx="6">
                  <c:v>890000</c:v>
                </c:pt>
                <c:pt idx="7">
                  <c:v>33391000</c:v>
                </c:pt>
                <c:pt idx="8">
                  <c:v>10967000</c:v>
                </c:pt>
                <c:pt idx="9">
                  <c:v>11018000</c:v>
                </c:pt>
              </c:numCache>
            </c:numRef>
          </c:val>
        </c:ser>
        <c:ser>
          <c:idx val="1"/>
          <c:order val="1"/>
          <c:tx>
            <c:strRef>
              <c:f>FinPerform!$A$209</c:f>
              <c:strCache>
                <c:ptCount val="1"/>
                <c:pt idx="0">
                  <c:v>Environmental Protection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FinPerform!$B$209:$K$209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FinPerform!$A$210</c:f>
              <c:strCache>
                <c:ptCount val="1"/>
                <c:pt idx="0">
                  <c:v>Waste Water Management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FinPerform!$B$210:$K$210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FinPerform!$A$211</c:f>
              <c:strCache>
                <c:ptCount val="1"/>
                <c:pt idx="0">
                  <c:v>Executive &amp; Council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FinPerform!$B$211:$K$211</c:f>
              <c:numCache>
                <c:formatCode>#\ ###\ ;\(#\ ###\ \)</c:formatCode>
                <c:ptCount val="10"/>
                <c:pt idx="0">
                  <c:v>11331000</c:v>
                </c:pt>
                <c:pt idx="1">
                  <c:v>10946000</c:v>
                </c:pt>
                <c:pt idx="2">
                  <c:v>10213000</c:v>
                </c:pt>
                <c:pt idx="3">
                  <c:v>37507000</c:v>
                </c:pt>
                <c:pt idx="5">
                  <c:v>37507000</c:v>
                </c:pt>
                <c:pt idx="6">
                  <c:v>37507000</c:v>
                </c:pt>
                <c:pt idx="7">
                  <c:v>11985000</c:v>
                </c:pt>
                <c:pt idx="8">
                  <c:v>12042000</c:v>
                </c:pt>
                <c:pt idx="9">
                  <c:v>13867000</c:v>
                </c:pt>
              </c:numCache>
            </c:numRef>
          </c:val>
        </c:ser>
        <c:ser>
          <c:idx val="4"/>
          <c:order val="4"/>
          <c:tx>
            <c:strRef>
              <c:f>FinPerform!$A$212</c:f>
              <c:strCache>
                <c:ptCount val="1"/>
                <c:pt idx="0">
                  <c:v>Sport and Recreation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FinPerform!$B$212:$K$212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FinPerform!$A$213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FinPerform!$B$213:$K$213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tx>
            <c:strRef>
              <c:f>FinPerform!$A$214</c:f>
              <c:strCache>
                <c:ptCount val="1"/>
                <c:pt idx="0">
                  <c:v>Community &amp; Social Services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FinPerform!$B$214:$K$214</c:f>
              <c:numCache>
                <c:formatCode>#\ ###\ ;\(#\ ###\ \)</c:formatCode>
                <c:ptCount val="10"/>
                <c:pt idx="0">
                  <c:v>13724000</c:v>
                </c:pt>
                <c:pt idx="1">
                  <c:v>3013000</c:v>
                </c:pt>
                <c:pt idx="2">
                  <c:v>3036000</c:v>
                </c:pt>
                <c:pt idx="3">
                  <c:v>3036000</c:v>
                </c:pt>
                <c:pt idx="5">
                  <c:v>3036000</c:v>
                </c:pt>
                <c:pt idx="6">
                  <c:v>3036000</c:v>
                </c:pt>
                <c:pt idx="7">
                  <c:v>7268000</c:v>
                </c:pt>
                <c:pt idx="8">
                  <c:v>6702000</c:v>
                </c:pt>
                <c:pt idx="9">
                  <c:v>7037000</c:v>
                </c:pt>
              </c:numCache>
            </c:numRef>
          </c:val>
        </c:ser>
        <c:ser>
          <c:idx val="7"/>
          <c:order val="7"/>
          <c:tx>
            <c:strRef>
              <c:f>FinPerform!$A$215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FinPerform!$B$215:$K$215</c:f>
              <c:numCache>
                <c:formatCode>#\ ###\ ;\(#\ ###\ \)</c:formatCode>
                <c:ptCount val="10"/>
                <c:pt idx="0">
                  <c:v>13617000</c:v>
                </c:pt>
                <c:pt idx="1">
                  <c:v>2923000</c:v>
                </c:pt>
                <c:pt idx="2">
                  <c:v>2947000</c:v>
                </c:pt>
                <c:pt idx="3">
                  <c:v>3200000</c:v>
                </c:pt>
                <c:pt idx="5">
                  <c:v>3200000</c:v>
                </c:pt>
                <c:pt idx="6">
                  <c:v>3200000</c:v>
                </c:pt>
                <c:pt idx="7">
                  <c:v>3200000</c:v>
                </c:pt>
                <c:pt idx="8">
                  <c:v>3392000</c:v>
                </c:pt>
                <c:pt idx="9">
                  <c:v>3562000</c:v>
                </c:pt>
              </c:numCache>
            </c:numRef>
          </c:val>
        </c:ser>
        <c:ser>
          <c:idx val="8"/>
          <c:order val="8"/>
          <c:tx>
            <c:strRef>
              <c:f>FinPerform!$A$216</c:f>
              <c:strCache>
                <c:ptCount val="1"/>
                <c:pt idx="0">
                  <c:v>Public Services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FinPerform!$B$216:$K$216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9"/>
          <c:order val="9"/>
          <c:tx>
            <c:strRef>
              <c:f>FinPerform!$A$217</c:f>
              <c:strCache>
                <c:ptCount val="1"/>
                <c:pt idx="0">
                  <c:v>Planning &amp; Development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FinPerform!$B$217:$K$217</c:f>
              <c:numCache>
                <c:formatCode>#\ ###\ ;\(#\ ###\ \)</c:formatCode>
                <c:ptCount val="10"/>
                <c:pt idx="0">
                  <c:v>28279000</c:v>
                </c:pt>
                <c:pt idx="1">
                  <c:v>25826000</c:v>
                </c:pt>
                <c:pt idx="2">
                  <c:v>21843000</c:v>
                </c:pt>
                <c:pt idx="3">
                  <c:v>18129000</c:v>
                </c:pt>
                <c:pt idx="5">
                  <c:v>18129000</c:v>
                </c:pt>
                <c:pt idx="6">
                  <c:v>18129000</c:v>
                </c:pt>
                <c:pt idx="7">
                  <c:v>20010000</c:v>
                </c:pt>
                <c:pt idx="8">
                  <c:v>19808000</c:v>
                </c:pt>
                <c:pt idx="9">
                  <c:v>20522000</c:v>
                </c:pt>
              </c:numCache>
            </c:numRef>
          </c:val>
        </c:ser>
        <c:ser>
          <c:idx val="10"/>
          <c:order val="10"/>
          <c:tx>
            <c:strRef>
              <c:f>FinPerform!$A$218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FinPerform!$B$218:$K$218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1"/>
          <c:order val="11"/>
          <c:tx>
            <c:strRef>
              <c:f>FinPerform!$A$219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FinPerform!$B$219:$K$219</c:f>
              <c:numCache>
                <c:formatCode>#\ ###\ ;\(#\ ###\ \)</c:formatCode>
                <c:ptCount val="10"/>
                <c:pt idx="0">
                  <c:v>5036000</c:v>
                </c:pt>
                <c:pt idx="1">
                  <c:v>6555000</c:v>
                </c:pt>
                <c:pt idx="2">
                  <c:v>7660000</c:v>
                </c:pt>
                <c:pt idx="3">
                  <c:v>7449000</c:v>
                </c:pt>
                <c:pt idx="5">
                  <c:v>7449000</c:v>
                </c:pt>
                <c:pt idx="6">
                  <c:v>7449000</c:v>
                </c:pt>
                <c:pt idx="7">
                  <c:v>8655000</c:v>
                </c:pt>
                <c:pt idx="8">
                  <c:v>8655000</c:v>
                </c:pt>
                <c:pt idx="9">
                  <c:v>9250000</c:v>
                </c:pt>
              </c:numCache>
            </c:numRef>
          </c:val>
        </c:ser>
        <c:ser>
          <c:idx val="12"/>
          <c:order val="12"/>
          <c:tx>
            <c:strRef>
              <c:f>FinPerform!$A$220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FinPerform!$B$220:$K$220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3"/>
          <c:order val="13"/>
          <c:tx>
            <c:strRef>
              <c:f>FinPerform!$A$221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FinPerform!$B$221:$K$221</c:f>
              <c:numCache>
                <c:formatCode>#\ ###\ ;\(#\ ###\ \)</c:formatCode>
                <c:ptCount val="10"/>
                <c:pt idx="0">
                  <c:v>44082000</c:v>
                </c:pt>
                <c:pt idx="1">
                  <c:v>69669000</c:v>
                </c:pt>
                <c:pt idx="2">
                  <c:v>93810000</c:v>
                </c:pt>
                <c:pt idx="3">
                  <c:v>94326000</c:v>
                </c:pt>
                <c:pt idx="5">
                  <c:v>94326000</c:v>
                </c:pt>
                <c:pt idx="6">
                  <c:v>94326000</c:v>
                </c:pt>
                <c:pt idx="7">
                  <c:v>81961000</c:v>
                </c:pt>
                <c:pt idx="8">
                  <c:v>87932000</c:v>
                </c:pt>
                <c:pt idx="9">
                  <c:v>92331000</c:v>
                </c:pt>
              </c:numCache>
            </c:numRef>
          </c:val>
        </c:ser>
        <c:ser>
          <c:idx val="14"/>
          <c:order val="14"/>
          <c:tx>
            <c:strRef>
              <c:f>FinPerform!$A$222</c:f>
              <c:strCache>
                <c:ptCount val="1"/>
                <c:pt idx="0">
                  <c:v>Budget &amp; Treasury Office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FinPerform!$B$222:$K$222</c:f>
              <c:numCache>
                <c:formatCode>#\ ###\ ;\(#\ ###\ \)</c:formatCode>
                <c:ptCount val="10"/>
                <c:pt idx="0">
                  <c:v>27981000</c:v>
                </c:pt>
                <c:pt idx="1">
                  <c:v>33287000</c:v>
                </c:pt>
                <c:pt idx="2">
                  <c:v>34137000</c:v>
                </c:pt>
                <c:pt idx="3">
                  <c:v>37736000</c:v>
                </c:pt>
                <c:pt idx="5">
                  <c:v>37736000</c:v>
                </c:pt>
                <c:pt idx="6">
                  <c:v>37736000</c:v>
                </c:pt>
                <c:pt idx="7">
                  <c:v>42901000</c:v>
                </c:pt>
                <c:pt idx="8">
                  <c:v>40862000</c:v>
                </c:pt>
                <c:pt idx="9">
                  <c:v>50002000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941584"/>
        <c:axId val="307941976"/>
      </c:barChart>
      <c:catAx>
        <c:axId val="30794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941976"/>
        <c:crosses val="autoZero"/>
        <c:auto val="1"/>
        <c:lblAlgn val="ctr"/>
        <c:lblOffset val="100"/>
        <c:tickMarkSkip val="1"/>
        <c:noMultiLvlLbl val="0"/>
      </c:catAx>
      <c:valAx>
        <c:axId val="307941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0.10833347914843977"/>
              <c:y val="0.2752142136079144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94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33361590388441E-2"/>
          <c:y val="2.5041736227045076E-2"/>
          <c:w val="0.95972352393056093"/>
          <c:h val="0.9515859766277128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943152"/>
        <c:axId val="307943544"/>
      </c:barChart>
      <c:catAx>
        <c:axId val="30794315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943544"/>
        <c:crosses val="autoZero"/>
        <c:auto val="1"/>
        <c:lblAlgn val="ctr"/>
        <c:lblOffset val="100"/>
        <c:tickMarkSkip val="1"/>
        <c:noMultiLvlLbl val="0"/>
      </c:catAx>
      <c:valAx>
        <c:axId val="307943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943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expenditure by Standard Classification - Chart A11</a:t>
            </a:r>
          </a:p>
        </c:rich>
      </c:tx>
      <c:layout>
        <c:manualLayout>
          <c:xMode val="edge"/>
          <c:yMode val="edge"/>
          <c:x val="0.3337969401947149"/>
          <c:y val="1.706484641638225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27816411682892"/>
          <c:y val="5.6314040097423024E-2"/>
          <c:w val="0.79415855354659248"/>
          <c:h val="0.484642042050549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Capital!$A$2</c:f>
              <c:strCache>
                <c:ptCount val="1"/>
                <c:pt idx="0">
                  <c:v>Corporate Services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Capital!$B$2:$K$2</c:f>
              <c:numCache>
                <c:formatCode>#\ ###\ ;\(#\ ###\ \)</c:formatCode>
                <c:ptCount val="10"/>
                <c:pt idx="0">
                  <c:v>63</c:v>
                </c:pt>
                <c:pt idx="1">
                  <c:v>63</c:v>
                </c:pt>
              </c:numCache>
            </c:numRef>
          </c:val>
        </c:ser>
        <c:ser>
          <c:idx val="1"/>
          <c:order val="1"/>
          <c:tx>
            <c:strRef>
              <c:f>Capital!$A$3</c:f>
              <c:strCache>
                <c:ptCount val="1"/>
                <c:pt idx="0">
                  <c:v>Environmental Protection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Capital!$B$3:$K$3</c:f>
              <c:numCache>
                <c:formatCode>#\ ###\ ;\(#\ ###\ \)</c:formatCode>
                <c:ptCount val="10"/>
              </c:numCache>
            </c:numRef>
          </c:val>
        </c:ser>
        <c:ser>
          <c:idx val="2"/>
          <c:order val="2"/>
          <c:tx>
            <c:strRef>
              <c:f>Capital!$A$4</c:f>
              <c:strCache>
                <c:ptCount val="1"/>
                <c:pt idx="0">
                  <c:v>Public Safety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Capital!$B$4:$K$4</c:f>
              <c:numCache>
                <c:formatCode>#\ ###\ ;\(#\ ###\ \)</c:formatCode>
                <c:ptCount val="10"/>
              </c:numCache>
            </c:numRef>
          </c:val>
        </c:ser>
        <c:ser>
          <c:idx val="3"/>
          <c:order val="3"/>
          <c:tx>
            <c:strRef>
              <c:f>Capital!$A$5</c:f>
              <c:strCache>
                <c:ptCount val="1"/>
                <c:pt idx="0">
                  <c:v>Executive &amp; Council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Capital!$B$5:$K$5</c:f>
              <c:numCache>
                <c:formatCode>#\ ###\ ;\(#\ ###\ \)</c:formatCode>
                <c:ptCount val="10"/>
                <c:pt idx="0">
                  <c:v>7300000</c:v>
                </c:pt>
                <c:pt idx="1">
                  <c:v>1800000</c:v>
                </c:pt>
                <c:pt idx="2">
                  <c:v>3893000</c:v>
                </c:pt>
                <c:pt idx="3">
                  <c:v>6040000</c:v>
                </c:pt>
                <c:pt idx="5">
                  <c:v>6040000</c:v>
                </c:pt>
                <c:pt idx="6">
                  <c:v>6040000</c:v>
                </c:pt>
                <c:pt idx="7">
                  <c:v>2000000</c:v>
                </c:pt>
              </c:numCache>
            </c:numRef>
          </c:val>
        </c:ser>
        <c:ser>
          <c:idx val="4"/>
          <c:order val="4"/>
          <c:tx>
            <c:strRef>
              <c:f>Capital!$A$6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Capital!$B$6:$K$6</c:f>
              <c:numCache>
                <c:formatCode>#\ ###\ ;\(#\ ###\ \)</c:formatCode>
                <c:ptCount val="10"/>
              </c:numCache>
            </c:numRef>
          </c:val>
        </c:ser>
        <c:ser>
          <c:idx val="5"/>
          <c:order val="5"/>
          <c:tx>
            <c:strRef>
              <c:f>Capital!$A$7</c:f>
              <c:strCache>
                <c:ptCount val="1"/>
                <c:pt idx="0">
                  <c:v>Sport and Recreation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Capital!$B$7:$K$7</c:f>
              <c:numCache>
                <c:formatCode>#\ ###\ ;\(#\ ###\ \)</c:formatCode>
                <c:ptCount val="10"/>
                <c:pt idx="1">
                  <c:v>0</c:v>
                </c:pt>
                <c:pt idx="3">
                  <c:v>7200000</c:v>
                </c:pt>
                <c:pt idx="4">
                  <c:v>0</c:v>
                </c:pt>
                <c:pt idx="5">
                  <c:v>7200000</c:v>
                </c:pt>
                <c:pt idx="6">
                  <c:v>7200000</c:v>
                </c:pt>
                <c:pt idx="7">
                  <c:v>6500000</c:v>
                </c:pt>
              </c:numCache>
            </c:numRef>
          </c:val>
        </c:ser>
        <c:ser>
          <c:idx val="6"/>
          <c:order val="6"/>
          <c:tx>
            <c:strRef>
              <c:f>Capital!$A$8</c:f>
              <c:strCache>
                <c:ptCount val="1"/>
                <c:pt idx="0">
                  <c:v>Community &amp; Social Services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Capital!$B$8:$K$8</c:f>
              <c:numCache>
                <c:formatCode>#\ ###\ ;\(#\ ###\ \)</c:formatCode>
                <c:ptCount val="10"/>
                <c:pt idx="0">
                  <c:v>0</c:v>
                </c:pt>
                <c:pt idx="1">
                  <c:v>4700000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5000000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Capital!$A$9</c:f>
              <c:strCache>
                <c:ptCount val="1"/>
                <c:pt idx="0">
                  <c:v>Waste Management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Capital!$B$9:$K$9</c:f>
              <c:numCache>
                <c:formatCode>#\ ###\ ;\(#\ ###\ \)</c:formatCode>
                <c:ptCount val="10"/>
                <c:pt idx="7">
                  <c:v>0</c:v>
                </c:pt>
              </c:numCache>
            </c:numRef>
          </c:val>
        </c:ser>
        <c:ser>
          <c:idx val="8"/>
          <c:order val="8"/>
          <c:tx>
            <c:strRef>
              <c:f>Capital!$A$10</c:f>
              <c:strCache>
                <c:ptCount val="1"/>
                <c:pt idx="0">
                  <c:v>Budget &amp; Treasury Office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Capital!$B$10:$K$10</c:f>
              <c:numCache>
                <c:formatCode>#\ ###\ ;\(#\ ###\ \)</c:formatCode>
                <c:ptCount val="10"/>
                <c:pt idx="0">
                  <c:v>0</c:v>
                </c:pt>
                <c:pt idx="1">
                  <c:v>2040000</c:v>
                </c:pt>
                <c:pt idx="7">
                  <c:v>3027000</c:v>
                </c:pt>
              </c:numCache>
            </c:numRef>
          </c:val>
        </c:ser>
        <c:ser>
          <c:idx val="9"/>
          <c:order val="9"/>
          <c:tx>
            <c:strRef>
              <c:f>Capital!$A$11</c:f>
              <c:strCache>
                <c:ptCount val="1"/>
                <c:pt idx="0">
                  <c:v>Storm water drainage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Capital!$B$11:$K$11</c:f>
              <c:numCache>
                <c:formatCode>#\ ###\ ;\(#\ ###\ \)</c:formatCode>
                <c:ptCount val="10"/>
                <c:pt idx="7">
                  <c:v>0</c:v>
                </c:pt>
              </c:numCache>
            </c:numRef>
          </c:val>
        </c:ser>
        <c:ser>
          <c:idx val="10"/>
          <c:order val="10"/>
          <c:tx>
            <c:strRef>
              <c:f>Capital!$A$12</c:f>
              <c:strCache>
                <c:ptCount val="1"/>
                <c:pt idx="0">
                  <c:v>Roads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Capital!$B$12:$K$12</c:f>
              <c:numCache>
                <c:formatCode>#\ ###\ ;\(#\ ###\ \)</c:formatCode>
                <c:ptCount val="10"/>
                <c:pt idx="3">
                  <c:v>6800000</c:v>
                </c:pt>
                <c:pt idx="5">
                  <c:v>6800000</c:v>
                </c:pt>
                <c:pt idx="6">
                  <c:v>6800000</c:v>
                </c:pt>
                <c:pt idx="7">
                  <c:v>0</c:v>
                </c:pt>
              </c:numCache>
            </c:numRef>
          </c:val>
        </c:ser>
        <c:ser>
          <c:idx val="11"/>
          <c:order val="11"/>
          <c:tx>
            <c:strRef>
              <c:f>Capital!$A$13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Capital!$B$13:$K$13</c:f>
              <c:numCache>
                <c:formatCode>#\ ###\ ;\(#\ ###\ 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1500000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Capital!$A$14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Capital!$B$14:$K$14</c:f>
              <c:numCache>
                <c:formatCode>#\ ###\ ;\(#\ ###\ \)</c:formatCode>
                <c:ptCount val="10"/>
              </c:numCache>
            </c:numRef>
          </c:val>
        </c:ser>
        <c:ser>
          <c:idx val="13"/>
          <c:order val="13"/>
          <c:tx>
            <c:strRef>
              <c:f>Capital!$A$15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Capital!$B$15:$K$15</c:f>
              <c:numCache>
                <c:formatCode>#\ ###\ ;\(#\ ###\ \)</c:formatCode>
                <c:ptCount val="10"/>
              </c:numCache>
            </c:numRef>
          </c:val>
        </c:ser>
        <c:ser>
          <c:idx val="14"/>
          <c:order val="14"/>
          <c:tx>
            <c:strRef>
              <c:f>Capital!$A$16</c:f>
              <c:strCache>
                <c:ptCount val="1"/>
                <c:pt idx="0">
                  <c:v>Planning &amp; Development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Capital!$B$16:$K$16</c:f>
              <c:numCache>
                <c:formatCode>#\ ###\ ;\(#\ ###\ \)</c:formatCode>
                <c:ptCount val="10"/>
                <c:pt idx="0">
                  <c:v>10010000</c:v>
                </c:pt>
                <c:pt idx="1">
                  <c:v>5539000</c:v>
                </c:pt>
                <c:pt idx="2">
                  <c:v>6598000</c:v>
                </c:pt>
                <c:pt idx="3">
                  <c:v>29644000</c:v>
                </c:pt>
                <c:pt idx="5">
                  <c:v>29644000</c:v>
                </c:pt>
                <c:pt idx="6">
                  <c:v>29644000</c:v>
                </c:pt>
                <c:pt idx="7">
                  <c:v>11423000</c:v>
                </c:pt>
                <c:pt idx="8">
                  <c:v>29808000</c:v>
                </c:pt>
                <c:pt idx="9">
                  <c:v>38354000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944328"/>
        <c:axId val="303444032"/>
      </c:barChart>
      <c:catAx>
        <c:axId val="307944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444032"/>
        <c:crosses val="autoZero"/>
        <c:auto val="1"/>
        <c:lblAlgn val="ctr"/>
        <c:lblOffset val="100"/>
        <c:tickMarkSkip val="1"/>
        <c:noMultiLvlLbl val="0"/>
      </c:catAx>
      <c:valAx>
        <c:axId val="303444032"/>
        <c:scaling>
          <c:orientation val="minMax"/>
          <c:max val="5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805285118219746E-2"/>
              <c:y val="0.2866895989537143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944328"/>
        <c:crosses val="autoZero"/>
        <c:crossBetween val="between"/>
        <c:minorUnit val="1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expenditure by Municipal Vote (Major) - Chart A9</a:t>
            </a:r>
          </a:p>
        </c:rich>
      </c:tx>
      <c:layout>
        <c:manualLayout>
          <c:xMode val="edge"/>
          <c:yMode val="edge"/>
          <c:x val="0.2517385257301808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72600834492351"/>
          <c:y val="7.9081632653061229E-2"/>
          <c:w val="0.83171070931849789"/>
          <c:h val="0.77040816326530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Capital!$A$64</c:f>
              <c:strCache>
                <c:ptCount val="1"/>
                <c:pt idx="0">
                  <c:v>Office of the City Manager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Capital!$B$64:$K$64</c:f>
              <c:numCache>
                <c:formatCode>#\ ###\ ;\(#\ ###\ \)</c:formatCode>
                <c:ptCount val="10"/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Capital!$A$65</c:f>
              <c:strCache>
                <c:ptCount val="1"/>
                <c:pt idx="0">
                  <c:v>Procurement &amp; Infra.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Capital!$B$65:$K$65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445208"/>
        <c:axId val="303445600"/>
      </c:barChart>
      <c:catAx>
        <c:axId val="303445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445600"/>
        <c:crosses val="autoZero"/>
        <c:auto val="1"/>
        <c:lblAlgn val="ctr"/>
        <c:lblOffset val="100"/>
        <c:tickMarkSkip val="1"/>
        <c:noMultiLvlLbl val="0"/>
      </c:catAx>
      <c:valAx>
        <c:axId val="303445600"/>
        <c:scaling>
          <c:orientation val="minMax"/>
          <c:max val="5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805285118219746E-2"/>
              <c:y val="0.4464285714285714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445208"/>
        <c:crosses val="autoZero"/>
        <c:crossBetween val="between"/>
        <c:majorUnit val="5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expenditure by Municipal Vote (Minor) - Chart A10</a:t>
            </a:r>
          </a:p>
        </c:rich>
      </c:tx>
      <c:layout>
        <c:manualLayout>
          <c:xMode val="edge"/>
          <c:yMode val="edge"/>
          <c:x val="0.28611140274132396"/>
          <c:y val="2.5445292620865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16694358580673"/>
          <c:y val="7.6336067549468103E-2"/>
          <c:w val="0.79027884966206818"/>
          <c:h val="0.66666832326535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Capital!$A$59</c:f>
              <c:strCache>
                <c:ptCount val="1"/>
                <c:pt idx="0">
                  <c:v>Governance and administration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Capital!$B$59:$K$59</c:f>
              <c:numCache>
                <c:formatCode>#\ ###\ ;\(#\ ###\ \)</c:formatCode>
                <c:ptCount val="10"/>
                <c:pt idx="0">
                  <c:v>7300000</c:v>
                </c:pt>
                <c:pt idx="1">
                  <c:v>1800000</c:v>
                </c:pt>
                <c:pt idx="2">
                  <c:v>3893000</c:v>
                </c:pt>
                <c:pt idx="3">
                  <c:v>8006000</c:v>
                </c:pt>
                <c:pt idx="5">
                  <c:v>8006000</c:v>
                </c:pt>
                <c:pt idx="6">
                  <c:v>8006000</c:v>
                </c:pt>
                <c:pt idx="7">
                  <c:v>2000000</c:v>
                </c:pt>
              </c:numCache>
            </c:numRef>
          </c:val>
        </c:ser>
        <c:ser>
          <c:idx val="1"/>
          <c:order val="1"/>
          <c:tx>
            <c:strRef>
              <c:f>Capital!$A$60</c:f>
              <c:strCache>
                <c:ptCount val="1"/>
                <c:pt idx="0">
                  <c:v>Community and public safety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Capital!$B$60:$K$60</c:f>
              <c:numCache>
                <c:formatCode>#\ ###\ ;\(#\ ###\ \)</c:formatCode>
                <c:ptCount val="10"/>
                <c:pt idx="0">
                  <c:v>0</c:v>
                </c:pt>
                <c:pt idx="1">
                  <c:v>4700000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Capital!$A$61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Capital!$B$61:$K$61</c:f>
              <c:numCache>
                <c:formatCode>#\ ###\ ;\(#\ ###\ \)</c:formatCode>
                <c:ptCount val="10"/>
                <c:pt idx="0">
                  <c:v>10010000</c:v>
                </c:pt>
                <c:pt idx="1">
                  <c:v>5539000</c:v>
                </c:pt>
                <c:pt idx="2">
                  <c:v>6598000</c:v>
                </c:pt>
                <c:pt idx="3">
                  <c:v>41678000</c:v>
                </c:pt>
                <c:pt idx="4">
                  <c:v>0</c:v>
                </c:pt>
                <c:pt idx="5">
                  <c:v>41678000</c:v>
                </c:pt>
                <c:pt idx="6">
                  <c:v>41678000</c:v>
                </c:pt>
                <c:pt idx="7">
                  <c:v>27450000</c:v>
                </c:pt>
                <c:pt idx="8">
                  <c:v>29808000</c:v>
                </c:pt>
                <c:pt idx="9">
                  <c:v>38354000</c:v>
                </c:pt>
              </c:numCache>
            </c:numRef>
          </c:val>
        </c:ser>
        <c:ser>
          <c:idx val="3"/>
          <c:order val="3"/>
          <c:tx>
            <c:strRef>
              <c:f>Capital!$A$62</c:f>
              <c:strCache>
                <c:ptCount val="1"/>
                <c:pt idx="0">
                  <c:v>Trading services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Capital!$B$62:$K$62</c:f>
              <c:numCache>
                <c:formatCode>#\ ###\ ;\(#\ ###\ 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Capital!$A$63</c:f>
              <c:strCache>
                <c:ptCount val="1"/>
                <c:pt idx="0">
                  <c:v>Treasury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Capital!$B$63:$K$63</c:f>
              <c:numCache>
                <c:formatCode>#\ ###\ ;\(#\ ###\ \)</c:formatCode>
                <c:ptCount val="10"/>
                <c:pt idx="1">
                  <c:v>2040000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446776"/>
        <c:axId val="303447168"/>
      </c:barChart>
      <c:catAx>
        <c:axId val="30344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447168"/>
        <c:crosses val="autoZero"/>
        <c:auto val="1"/>
        <c:lblAlgn val="ctr"/>
        <c:lblOffset val="100"/>
        <c:tickMarkSkip val="1"/>
        <c:noMultiLvlLbl val="0"/>
      </c:catAx>
      <c:valAx>
        <c:axId val="303447168"/>
        <c:scaling>
          <c:orientation val="minMax"/>
          <c:max val="7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722368037328659E-2"/>
              <c:y val="0.3893140456679556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446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expenditure by Municipal Vote (Major - Trend) - Chart A12</a:t>
            </a:r>
          </a:p>
        </c:rich>
      </c:tx>
      <c:layout>
        <c:manualLayout>
          <c:xMode val="edge"/>
          <c:yMode val="edge"/>
          <c:x val="0.29768547681539809"/>
          <c:y val="2.54452926208651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55586826696542"/>
          <c:y val="7.6336067549468103E-2"/>
          <c:w val="0.76388992498090957"/>
          <c:h val="0.59542132688585125"/>
        </c:manualLayout>
      </c:layout>
      <c:lineChart>
        <c:grouping val="standard"/>
        <c:varyColors val="0"/>
        <c:ser>
          <c:idx val="0"/>
          <c:order val="0"/>
          <c:tx>
            <c:strRef>
              <c:f>Capital!$A$59</c:f>
              <c:strCache>
                <c:ptCount val="1"/>
                <c:pt idx="0">
                  <c:v>Governance and administration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Capital!$B$59:$K$59</c:f>
              <c:numCache>
                <c:formatCode>#\ ###\ ;\(#\ ###\ \)</c:formatCode>
                <c:ptCount val="10"/>
                <c:pt idx="0">
                  <c:v>7300000</c:v>
                </c:pt>
                <c:pt idx="1">
                  <c:v>1800000</c:v>
                </c:pt>
                <c:pt idx="2">
                  <c:v>3893000</c:v>
                </c:pt>
                <c:pt idx="3">
                  <c:v>8006000</c:v>
                </c:pt>
                <c:pt idx="5">
                  <c:v>8006000</c:v>
                </c:pt>
                <c:pt idx="6">
                  <c:v>8006000</c:v>
                </c:pt>
                <c:pt idx="7">
                  <c:v>2000000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Capital!$A$60</c:f>
              <c:strCache>
                <c:ptCount val="1"/>
                <c:pt idx="0">
                  <c:v>Community and public safety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Capital!$B$60:$K$60</c:f>
              <c:numCache>
                <c:formatCode>#\ ###\ ;\(#\ ###\ \)</c:formatCode>
                <c:ptCount val="10"/>
                <c:pt idx="0">
                  <c:v>0</c:v>
                </c:pt>
                <c:pt idx="1">
                  <c:v>4700000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Capital!$A$61</c:f>
              <c:strCache>
                <c:ptCount val="1"/>
                <c:pt idx="0">
                  <c:v>Planning and Development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Capital!$B$61:$K$61</c:f>
              <c:numCache>
                <c:formatCode>#\ ###\ ;\(#\ ###\ \)</c:formatCode>
                <c:ptCount val="10"/>
                <c:pt idx="0">
                  <c:v>10010000</c:v>
                </c:pt>
                <c:pt idx="1">
                  <c:v>5539000</c:v>
                </c:pt>
                <c:pt idx="2">
                  <c:v>6598000</c:v>
                </c:pt>
                <c:pt idx="3">
                  <c:v>41678000</c:v>
                </c:pt>
                <c:pt idx="4">
                  <c:v>0</c:v>
                </c:pt>
                <c:pt idx="5">
                  <c:v>41678000</c:v>
                </c:pt>
                <c:pt idx="6">
                  <c:v>41678000</c:v>
                </c:pt>
                <c:pt idx="7">
                  <c:v>27450000</c:v>
                </c:pt>
                <c:pt idx="8">
                  <c:v>29808000</c:v>
                </c:pt>
                <c:pt idx="9">
                  <c:v>38354000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Capital!$A$62</c:f>
              <c:strCache>
                <c:ptCount val="1"/>
                <c:pt idx="0">
                  <c:v>Trading services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Capital!$B$62:$K$62</c:f>
              <c:numCache>
                <c:formatCode>#\ ###\ ;\(#\ ###\ 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Capital!$A$63</c:f>
              <c:strCache>
                <c:ptCount val="1"/>
                <c:pt idx="0">
                  <c:v>Treasury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Capital!$B$63:$K$63</c:f>
              <c:numCache>
                <c:formatCode>#\ ###\ ;\(#\ ###\ \)</c:formatCode>
                <c:ptCount val="10"/>
                <c:pt idx="1">
                  <c:v>2040000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Capital!$A$64</c:f>
              <c:strCache>
                <c:ptCount val="1"/>
                <c:pt idx="0">
                  <c:v>Office of the City Manager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Capital!$B$64:$K$64</c:f>
              <c:numCache>
                <c:formatCode>#\ ###\ ;\(#\ ###\ \)</c:formatCode>
                <c:ptCount val="10"/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Capital!$A$65</c:f>
              <c:strCache>
                <c:ptCount val="1"/>
                <c:pt idx="0">
                  <c:v>Procurement &amp; Infra.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Capital!$B$65:$K$65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929024"/>
        <c:axId val="188929416"/>
      </c:lineChart>
      <c:catAx>
        <c:axId val="1889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929416"/>
        <c:crosses val="autoZero"/>
        <c:auto val="1"/>
        <c:lblAlgn val="ctr"/>
        <c:lblOffset val="100"/>
        <c:tickMarkSkip val="1"/>
        <c:noMultiLvlLbl val="0"/>
      </c:catAx>
      <c:valAx>
        <c:axId val="188929416"/>
        <c:scaling>
          <c:orientation val="minMax"/>
          <c:max val="3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722368037328659E-2"/>
              <c:y val="0.3536903688565646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929024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2014/15 Budget Year
Capital expenditure program per vote
</a:t>
            </a:r>
          </a:p>
        </c:rich>
      </c:tx>
      <c:layout>
        <c:manualLayout>
          <c:xMode val="edge"/>
          <c:yMode val="edge"/>
          <c:x val="0.30277821522309711"/>
          <c:y val="6.824712643678161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944521680395072E-2"/>
          <c:y val="0.1961206896551724"/>
          <c:w val="0.87500118679631456"/>
          <c:h val="0.538793103448275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342898804316126"/>
                  <c:y val="0.162498868675898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90142898804313E-2"/>
                  <c:y val="6.9684813105258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8687809857101197E-2"/>
                  <c:y val="8.9941397411530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1075532225138525E-2"/>
                  <c:y val="0.227872431894289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0872433654126568"/>
                  <c:y val="0.153018146438591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3852143482064744E-2"/>
                  <c:y val="5.02882613811204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12374336541265675"/>
                  <c:y val="-8.3332428274051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Capital!$A$59:$A$65</c:f>
              <c:strCache>
                <c:ptCount val="7"/>
                <c:pt idx="0">
                  <c:v>Governance and administration</c:v>
                </c:pt>
                <c:pt idx="1">
                  <c:v>Community and public safety</c:v>
                </c:pt>
                <c:pt idx="2">
                  <c:v>Planning and Development</c:v>
                </c:pt>
                <c:pt idx="3">
                  <c:v>Trading services</c:v>
                </c:pt>
                <c:pt idx="4">
                  <c:v>Treasury</c:v>
                </c:pt>
                <c:pt idx="5">
                  <c:v>Office of the City Manager</c:v>
                </c:pt>
                <c:pt idx="6">
                  <c:v>Procurement &amp; Infra.</c:v>
                </c:pt>
              </c:strCache>
            </c:strRef>
          </c:cat>
          <c:val>
            <c:numRef>
              <c:f>Capital!$I$59:$I$65</c:f>
              <c:numCache>
                <c:formatCode>#\ ###\ ;\(#\ ###\ \)</c:formatCode>
                <c:ptCount val="7"/>
                <c:pt idx="0">
                  <c:v>2000000</c:v>
                </c:pt>
                <c:pt idx="2">
                  <c:v>27450000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Repairs &amp; Maintenance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2007/08 MTREF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608640"/>
        <c:axId val="217934952"/>
      </c:barChart>
      <c:lineChart>
        <c:grouping val="standard"/>
        <c:varyColors val="0"/>
        <c:ser>
          <c:idx val="0"/>
          <c:order val="1"/>
          <c:tx>
            <c:v>Target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35344"/>
        <c:axId val="217935736"/>
      </c:lineChart>
      <c:catAx>
        <c:axId val="31060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7934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7934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608640"/>
        <c:crosses val="autoZero"/>
        <c:crossBetween val="between"/>
        <c:majorUnit val="0.02"/>
        <c:minorUnit val="0.02"/>
      </c:valAx>
      <c:catAx>
        <c:axId val="21793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7935736"/>
        <c:crosses val="autoZero"/>
        <c:auto val="0"/>
        <c:lblAlgn val="ctr"/>
        <c:lblOffset val="100"/>
        <c:noMultiLvlLbl val="0"/>
      </c:catAx>
      <c:valAx>
        <c:axId val="217935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935344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2014/15 MTREF (3 year total)
Capital expenditure program per vote
</a:t>
            </a:r>
          </a:p>
        </c:rich>
      </c:tx>
      <c:layout>
        <c:manualLayout>
          <c:xMode val="edge"/>
          <c:yMode val="edge"/>
          <c:x val="0.30833377077865265"/>
          <c:y val="1.07526881720430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944521680395072E-2"/>
          <c:y val="0.19569933572609149"/>
          <c:w val="0.87500118679631456"/>
          <c:h val="0.537635537709042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861417322834646"/>
                  <c:y val="0.225232297575706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2152960046660833"/>
                  <c:y val="0.11828115034007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6867688106274427E-2"/>
                  <c:y val="0.175770316139546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7442986293379991E-2"/>
                  <c:y val="0.195842068128580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9465077282006414E-2"/>
                  <c:y val="9.53405017921147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9130067074948971E-2"/>
                  <c:y val="-9.46225270228318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1058326042578012E-2"/>
                  <c:y val="1.1471114497784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Capital!$A$59:$A$65</c:f>
              <c:strCache>
                <c:ptCount val="7"/>
                <c:pt idx="0">
                  <c:v>Governance and administration</c:v>
                </c:pt>
                <c:pt idx="1">
                  <c:v>Community and public safety</c:v>
                </c:pt>
                <c:pt idx="2">
                  <c:v>Planning and Development</c:v>
                </c:pt>
                <c:pt idx="3">
                  <c:v>Trading services</c:v>
                </c:pt>
                <c:pt idx="4">
                  <c:v>Treasury</c:v>
                </c:pt>
                <c:pt idx="5">
                  <c:v>Office of the City Manager</c:v>
                </c:pt>
                <c:pt idx="6">
                  <c:v>Procurement &amp; Infra.</c:v>
                </c:pt>
              </c:strCache>
            </c:strRef>
          </c:cat>
          <c:val>
            <c:numRef>
              <c:f>Capital!$M$59:$M$65</c:f>
              <c:numCache>
                <c:formatCode>#\ ###\ ;\(#\ ###\ \)</c:formatCode>
                <c:ptCount val="7"/>
                <c:pt idx="0">
                  <c:v>2000000</c:v>
                </c:pt>
                <c:pt idx="1">
                  <c:v>0</c:v>
                </c:pt>
                <c:pt idx="2">
                  <c:v>95612000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Capital funding by source - Chart A13</a:t>
            </a:r>
          </a:p>
        </c:rich>
      </c:tx>
      <c:layout>
        <c:manualLayout>
          <c:xMode val="edge"/>
          <c:yMode val="edge"/>
          <c:x val="0.33750043744531932"/>
          <c:y val="1.27226463104325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66692663157367"/>
          <c:y val="7.6336067549468103E-2"/>
          <c:w val="0.80277886661630127"/>
          <c:h val="0.7022918214551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Capital!$A$213</c:f>
              <c:strCache>
                <c:ptCount val="1"/>
                <c:pt idx="0">
                  <c:v>Public contributions &amp; donations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Capital!$B$213:$K$213</c:f>
              <c:numCache>
                <c:formatCode>#\ ###\ ;\(#\ ###\ \)</c:formatCode>
                <c:ptCount val="10"/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Capital!$A$214</c:f>
              <c:strCache>
                <c:ptCount val="1"/>
                <c:pt idx="0">
                  <c:v>Borrowing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Capital!$B$214:$K$214</c:f>
              <c:numCache>
                <c:formatCode>#\ ###\ ;\(#\ ###\ 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20000</c:v>
                </c:pt>
                <c:pt idx="4">
                  <c:v>0</c:v>
                </c:pt>
                <c:pt idx="5">
                  <c:v>20000</c:v>
                </c:pt>
                <c:pt idx="6">
                  <c:v>20000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Capital!$A$215</c:f>
              <c:strCache>
                <c:ptCount val="1"/>
                <c:pt idx="0">
                  <c:v>Internally generated funds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Capital!$B$215:$K$215</c:f>
              <c:numCache>
                <c:formatCode>#\ ###\ ;\(#\ ###\ 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12840</c:v>
                </c:pt>
                <c:pt idx="4">
                  <c:v>0</c:v>
                </c:pt>
                <c:pt idx="5">
                  <c:v>12840</c:v>
                </c:pt>
                <c:pt idx="6">
                  <c:v>12840</c:v>
                </c:pt>
                <c:pt idx="7">
                  <c:v>10507</c:v>
                </c:pt>
                <c:pt idx="8">
                  <c:v>10000</c:v>
                </c:pt>
                <c:pt idx="9">
                  <c:v>17832</c:v>
                </c:pt>
              </c:numCache>
            </c:numRef>
          </c:val>
        </c:ser>
        <c:ser>
          <c:idx val="3"/>
          <c:order val="3"/>
          <c:tx>
            <c:strRef>
              <c:f>Capital!$A$216</c:f>
              <c:strCache>
                <c:ptCount val="1"/>
                <c:pt idx="0">
                  <c:v>Capital transfers recognised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Capital!$B$1:$K$1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Capital!$B$216:$K$216</c:f>
              <c:numCache>
                <c:formatCode>#\ ###\ ;\(#\ ###\ \)</c:formatCode>
                <c:ptCount val="10"/>
                <c:pt idx="0">
                  <c:v>10010</c:v>
                </c:pt>
                <c:pt idx="1">
                  <c:v>12039</c:v>
                </c:pt>
                <c:pt idx="2">
                  <c:v>14604</c:v>
                </c:pt>
                <c:pt idx="3">
                  <c:v>16844</c:v>
                </c:pt>
                <c:pt idx="4">
                  <c:v>0</c:v>
                </c:pt>
                <c:pt idx="5">
                  <c:v>16844</c:v>
                </c:pt>
                <c:pt idx="6">
                  <c:v>16844</c:v>
                </c:pt>
                <c:pt idx="7">
                  <c:v>18943</c:v>
                </c:pt>
                <c:pt idx="8">
                  <c:v>19808</c:v>
                </c:pt>
                <c:pt idx="9">
                  <c:v>20522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1376"/>
        <c:axId val="188931768"/>
      </c:barChart>
      <c:catAx>
        <c:axId val="18893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931768"/>
        <c:crosses val="autoZero"/>
        <c:auto val="1"/>
        <c:lblAlgn val="ctr"/>
        <c:lblOffset val="100"/>
        <c:tickMarkSkip val="1"/>
        <c:noMultiLvlLbl val="0"/>
      </c:catAx>
      <c:valAx>
        <c:axId val="188931768"/>
        <c:scaling>
          <c:orientation val="minMax"/>
          <c:max val="5000000"/>
          <c:min val="50000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9722368037328659E-2"/>
              <c:y val="0.4071257505025612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9313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IDP Strategic Objectives - Revenue - Chart A14</a:t>
            </a:r>
          </a:p>
        </c:rich>
      </c:tx>
      <c:layout>
        <c:manualLayout>
          <c:xMode val="edge"/>
          <c:yMode val="edge"/>
          <c:x val="0.29583377077865264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47225405850431"/>
          <c:y val="7.9787337656013202E-2"/>
          <c:w val="0.75972325266283181"/>
          <c:h val="0.68883068176358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IDP!$A$8</c:f>
              <c:strCache>
                <c:ptCount val="1"/>
                <c:pt idx="0">
                  <c:v>Other objectives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IDP!$B$8:$K$8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IDP!$A$9</c:f>
              <c:strCache>
                <c:ptCount val="1"/>
                <c:pt idx="0">
                  <c:v>Economic Development and Job Creation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IDP!$B$9:$K$9</c:f>
              <c:numCache>
                <c:formatCode>#\ ###\ ;\(#\ ###\ \)</c:formatCode>
                <c:ptCount val="10"/>
              </c:numCache>
            </c:numRef>
          </c:val>
        </c:ser>
        <c:ser>
          <c:idx val="2"/>
          <c:order val="2"/>
          <c:tx>
            <c:strRef>
              <c:f>IDP!$A$10</c:f>
              <c:strCache>
                <c:ptCount val="1"/>
                <c:pt idx="0">
                  <c:v>Financial Viability and Sustainability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IDP!$B$10:$K$10</c:f>
              <c:numCache>
                <c:formatCode>#\ ###\ ;\(#\ ###\ \)</c:formatCode>
                <c:ptCount val="10"/>
                <c:pt idx="0">
                  <c:v>74277</c:v>
                </c:pt>
                <c:pt idx="1">
                  <c:v>120612</c:v>
                </c:pt>
                <c:pt idx="2">
                  <c:v>124942</c:v>
                </c:pt>
                <c:pt idx="3">
                  <c:v>140801</c:v>
                </c:pt>
                <c:pt idx="4">
                  <c:v>150223</c:v>
                </c:pt>
                <c:pt idx="5">
                  <c:v>150223</c:v>
                </c:pt>
                <c:pt idx="7">
                  <c:v>140673</c:v>
                </c:pt>
                <c:pt idx="8">
                  <c:v>148533</c:v>
                </c:pt>
                <c:pt idx="9">
                  <c:v>156614</c:v>
                </c:pt>
              </c:numCache>
            </c:numRef>
          </c:val>
        </c:ser>
        <c:ser>
          <c:idx val="3"/>
          <c:order val="3"/>
          <c:tx>
            <c:strRef>
              <c:f>IDP!$A$11</c:f>
              <c:strCache>
                <c:ptCount val="1"/>
                <c:pt idx="0">
                  <c:v>Quality Living Environment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IDP!$B$11:$K$11</c:f>
              <c:numCache>
                <c:formatCode>#\ ###\ ;\(#\ ###\ \)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749968"/>
        <c:axId val="304750360"/>
      </c:barChart>
      <c:catAx>
        <c:axId val="30474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4750360"/>
        <c:crosses val="autoZero"/>
        <c:auto val="1"/>
        <c:lblAlgn val="ctr"/>
        <c:lblOffset val="100"/>
        <c:tickMarkSkip val="1"/>
        <c:noMultiLvlLbl val="0"/>
      </c:catAx>
      <c:valAx>
        <c:axId val="304750360"/>
        <c:scaling>
          <c:orientation val="minMax"/>
          <c:max val="15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555701370661995E-2"/>
              <c:y val="0.4015963031216842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4749968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IDP Strategic Objectives - Capital Expenditure - Chart A16</a:t>
            </a:r>
          </a:p>
        </c:rich>
      </c:tx>
      <c:layout>
        <c:manualLayout>
          <c:xMode val="edge"/>
          <c:yMode val="edge"/>
          <c:x val="0.34257989595960697"/>
          <c:y val="1.3262599469496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439683002992673"/>
          <c:y val="7.9575596816976124E-2"/>
          <c:w val="0.76005599323313511"/>
          <c:h val="0.652519893899204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IDP!$A$82</c:f>
              <c:strCache>
                <c:ptCount val="1"/>
                <c:pt idx="0">
                  <c:v>Other objectives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IDP!$B$82:$K$82</c:f>
              <c:numCache>
                <c:formatCode>#\ ###\ ;\(#\ ###\ \)</c:formatCode>
                <c:ptCount val="10"/>
              </c:numCache>
            </c:numRef>
          </c:val>
        </c:ser>
        <c:ser>
          <c:idx val="1"/>
          <c:order val="1"/>
          <c:tx>
            <c:strRef>
              <c:f>IDP!$A$83</c:f>
              <c:strCache>
                <c:ptCount val="1"/>
                <c:pt idx="0">
                  <c:v>Financial Viability and Sustainability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IDP!$B$83:$K$83</c:f>
              <c:numCache>
                <c:formatCode>#\ ###\ ;\(#\ ###\ \)</c:formatCode>
                <c:ptCount val="10"/>
              </c:numCache>
            </c:numRef>
          </c:val>
        </c:ser>
        <c:ser>
          <c:idx val="2"/>
          <c:order val="2"/>
          <c:tx>
            <c:strRef>
              <c:f>IDP!$A$84</c:f>
              <c:strCache>
                <c:ptCount val="1"/>
                <c:pt idx="0">
                  <c:v>Economic Development and Job Creation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IDP!$B$84:$K$84</c:f>
              <c:numCache>
                <c:formatCode>#\ ###\ ;\(#\ ###\ \)</c:formatCode>
                <c:ptCount val="10"/>
                <c:pt idx="0">
                  <c:v>12000</c:v>
                </c:pt>
                <c:pt idx="1">
                  <c:v>10000</c:v>
                </c:pt>
                <c:pt idx="2">
                  <c:v>12039</c:v>
                </c:pt>
                <c:pt idx="3">
                  <c:v>12039</c:v>
                </c:pt>
                <c:pt idx="4">
                  <c:v>12039</c:v>
                </c:pt>
                <c:pt idx="5">
                  <c:v>12039</c:v>
                </c:pt>
                <c:pt idx="7">
                  <c:v>29450</c:v>
                </c:pt>
                <c:pt idx="8">
                  <c:v>29808</c:v>
                </c:pt>
                <c:pt idx="9">
                  <c:v>38354</c:v>
                </c:pt>
              </c:numCache>
            </c:numRef>
          </c:val>
        </c:ser>
        <c:ser>
          <c:idx val="3"/>
          <c:order val="3"/>
          <c:tx>
            <c:strRef>
              <c:f>IDP!$A$85</c:f>
              <c:strCache>
                <c:ptCount val="1"/>
                <c:pt idx="0">
                  <c:v>Embracing our Cultural Diversity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IDP!$B$85:$K$85</c:f>
              <c:numCache>
                <c:formatCode>#\ ###\ ;\(#\ ###\ \)</c:formatCode>
                <c:ptCount val="10"/>
              </c:numCache>
            </c:numRef>
          </c:val>
        </c:ser>
        <c:ser>
          <c:idx val="4"/>
          <c:order val="4"/>
          <c:tx>
            <c:strRef>
              <c:f>IDP!$A$86</c:f>
              <c:strCache>
                <c:ptCount val="1"/>
                <c:pt idx="0">
                  <c:v>Quality Living Environment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IDP!$B$86:$K$86</c:f>
              <c:numCache>
                <c:formatCode>#\ ###\ ;\(#\ ###\ \)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751536"/>
        <c:axId val="304751928"/>
      </c:barChart>
      <c:catAx>
        <c:axId val="30475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4751928"/>
        <c:crosses val="autoZero"/>
        <c:auto val="1"/>
        <c:lblAlgn val="ctr"/>
        <c:lblOffset val="100"/>
        <c:tickMarkSkip val="1"/>
        <c:noMultiLvlLbl val="0"/>
      </c:catAx>
      <c:valAx>
        <c:axId val="304751928"/>
        <c:scaling>
          <c:orientation val="minMax"/>
          <c:max val="5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443828016643557E-2"/>
              <c:y val="0.3846153846153846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4751536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IDP Strategic Objectives - Expenditure - Chart A15</a:t>
            </a:r>
          </a:p>
        </c:rich>
      </c:tx>
      <c:layout>
        <c:manualLayout>
          <c:xMode val="edge"/>
          <c:yMode val="edge"/>
          <c:x val="0.28233657858136302"/>
          <c:y val="1.3262599469496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895688456189152"/>
          <c:y val="7.9575596816976124E-2"/>
          <c:w val="0.74547983310152988"/>
          <c:h val="0.503978779840848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IDP!$A$40</c:f>
              <c:strCache>
                <c:ptCount val="1"/>
                <c:pt idx="0">
                  <c:v>Sustaining the Natural and Built Environment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IDP!$B$40:$K$40</c:f>
              <c:numCache>
                <c:formatCode>#\ ###\ ;\(#\ ###\ \)</c:formatCode>
                <c:ptCount val="10"/>
              </c:numCache>
            </c:numRef>
          </c:val>
        </c:ser>
        <c:ser>
          <c:idx val="1"/>
          <c:order val="1"/>
          <c:tx>
            <c:strRef>
              <c:f>IDP!$A$41</c:f>
              <c:strCache>
                <c:ptCount val="1"/>
                <c:pt idx="0">
                  <c:v>Economic Development and Job Creation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IDP!$B$41:$K$41</c:f>
              <c:numCache>
                <c:formatCode>#\ ###\ ;\(#\ ###\ \)</c:formatCode>
                <c:ptCount val="10"/>
              </c:numCache>
            </c:numRef>
          </c:val>
        </c:ser>
        <c:ser>
          <c:idx val="2"/>
          <c:order val="2"/>
          <c:tx>
            <c:strRef>
              <c:f>IDP!$A$42</c:f>
              <c:strCache>
                <c:ptCount val="1"/>
                <c:pt idx="0">
                  <c:v>Quality Living Environment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IDP!$B$42:$K$42</c:f>
              <c:numCache>
                <c:formatCode>#\ ###\ ;\(#\ ###\ \)</c:formatCode>
                <c:ptCount val="10"/>
              </c:numCache>
            </c:numRef>
          </c:val>
        </c:ser>
        <c:ser>
          <c:idx val="3"/>
          <c:order val="3"/>
          <c:tx>
            <c:strRef>
              <c:f>IDP!$A$43</c:f>
              <c:strCache>
                <c:ptCount val="1"/>
                <c:pt idx="0">
                  <c:v>Safe, Healthy and Secure Environment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IDP!$B$43:$K$43</c:f>
              <c:numCache>
                <c:formatCode>#\ ###\ ;\(#\ ###\ \)</c:formatCode>
                <c:ptCount val="10"/>
              </c:numCache>
            </c:numRef>
          </c:val>
        </c:ser>
        <c:ser>
          <c:idx val="4"/>
          <c:order val="4"/>
          <c:tx>
            <c:strRef>
              <c:f>IDP!$A$44</c:f>
              <c:strCache>
                <c:ptCount val="1"/>
                <c:pt idx="0">
                  <c:v>Empowering our Citizens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IDP!$B$44:$K$44</c:f>
              <c:numCache>
                <c:formatCode>#\ ###\ ;\(#\ ###\ \)</c:formatCode>
                <c:ptCount val="10"/>
              </c:numCache>
            </c:numRef>
          </c:val>
        </c:ser>
        <c:ser>
          <c:idx val="5"/>
          <c:order val="5"/>
          <c:tx>
            <c:strRef>
              <c:f>IDP!$A$45</c:f>
              <c:strCache>
                <c:ptCount val="1"/>
                <c:pt idx="0">
                  <c:v>Embracing our Cultural Diversity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IDP!$B$45:$K$45</c:f>
              <c:numCache>
                <c:formatCode>#\ ###\ ;\(#\ ###\ \)</c:formatCode>
                <c:ptCount val="10"/>
              </c:numCache>
            </c:numRef>
          </c:val>
        </c:ser>
        <c:ser>
          <c:idx val="6"/>
          <c:order val="6"/>
          <c:tx>
            <c:strRef>
              <c:f>IDP!$A$46</c:f>
              <c:strCache>
                <c:ptCount val="1"/>
                <c:pt idx="0">
                  <c:v>Good Governance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IDP!$B$46:$K$46</c:f>
              <c:numCache>
                <c:formatCode>#\ ###\ ;\(#\ ###\ \)</c:formatCode>
                <c:ptCount val="10"/>
              </c:numCache>
            </c:numRef>
          </c:val>
        </c:ser>
        <c:ser>
          <c:idx val="7"/>
          <c:order val="7"/>
          <c:tx>
            <c:strRef>
              <c:f>IDP!$A$47</c:f>
              <c:strCache>
                <c:ptCount val="1"/>
                <c:pt idx="0">
                  <c:v>Financial Viability and Sustainability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IDP!$B$47:$K$47</c:f>
              <c:numCache>
                <c:formatCode>#\ ###\ ;\(#\ ###\ 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IDP!$A$48</c:f>
              <c:strCache>
                <c:ptCount val="1"/>
                <c:pt idx="0">
                  <c:v>Operations and Support Services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IDP!$B$1:$K$1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IDP!$B$48:$K$48</c:f>
              <c:numCache>
                <c:formatCode>#\ ###\ ;\(#\ ###\ \)</c:formatCode>
                <c:ptCount val="10"/>
                <c:pt idx="0">
                  <c:v>74000</c:v>
                </c:pt>
                <c:pt idx="1">
                  <c:v>121000</c:v>
                </c:pt>
                <c:pt idx="2">
                  <c:v>125000</c:v>
                </c:pt>
                <c:pt idx="3">
                  <c:v>141000</c:v>
                </c:pt>
                <c:pt idx="4">
                  <c:v>150000</c:v>
                </c:pt>
                <c:pt idx="5">
                  <c:v>150000</c:v>
                </c:pt>
                <c:pt idx="7">
                  <c:v>141000</c:v>
                </c:pt>
                <c:pt idx="8">
                  <c:v>149000</c:v>
                </c:pt>
                <c:pt idx="9">
                  <c:v>157000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753104"/>
        <c:axId val="435064344"/>
      </c:barChart>
      <c:catAx>
        <c:axId val="30475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4344"/>
        <c:crosses val="autoZero"/>
        <c:auto val="1"/>
        <c:lblAlgn val="ctr"/>
        <c:lblOffset val="100"/>
        <c:tickMarkSkip val="1"/>
        <c:noMultiLvlLbl val="0"/>
      </c:catAx>
      <c:valAx>
        <c:axId val="435064344"/>
        <c:scaling>
          <c:orientation val="minMax"/>
          <c:max val="135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667593880389424E-2"/>
              <c:y val="0.3103448275862069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4753104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IDP Strategic Objectives - Revenue - Chart A14</a:t>
            </a:r>
          </a:p>
        </c:rich>
      </c:tx>
      <c:layout>
        <c:manualLayout>
          <c:xMode val="edge"/>
          <c:yMode val="edge"/>
          <c:x val="0.36026012765117449"/>
          <c:y val="2.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33999767420195"/>
          <c:y val="0.16800043750113933"/>
          <c:w val="0.75208964795441979"/>
          <c:h val="0.63733499305987773"/>
        </c:manualLayout>
      </c:layout>
      <c:lineChart>
        <c:grouping val="standard"/>
        <c:varyColors val="0"/>
        <c:ser>
          <c:idx val="0"/>
          <c:order val="0"/>
          <c:tx>
            <c:strRef>
              <c:f>Misc!$A$2</c:f>
              <c:strCache>
                <c:ptCount val="1"/>
                <c:pt idx="0">
                  <c:v>Cash Flow - Op. Activities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Misc!$B$2:$K$2</c:f>
              <c:numCache>
                <c:formatCode>#\ ###\ ;\(#\ ###\ \)</c:formatCode>
                <c:ptCount val="10"/>
                <c:pt idx="0">
                  <c:v>24715000</c:v>
                </c:pt>
                <c:pt idx="1">
                  <c:v>8482000</c:v>
                </c:pt>
                <c:pt idx="2">
                  <c:v>-20743000</c:v>
                </c:pt>
                <c:pt idx="3">
                  <c:v>8162000</c:v>
                </c:pt>
                <c:pt idx="5">
                  <c:v>8162000</c:v>
                </c:pt>
                <c:pt idx="6">
                  <c:v>8162000</c:v>
                </c:pt>
                <c:pt idx="7">
                  <c:v>13590000</c:v>
                </c:pt>
                <c:pt idx="8">
                  <c:v>28727000</c:v>
                </c:pt>
                <c:pt idx="9">
                  <c:v>27853000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Misc!$A$3</c:f>
              <c:strCache>
                <c:ptCount val="1"/>
                <c:pt idx="0">
                  <c:v>Cash Flow - Investing (used)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Misc!$B$3:$K$3</c:f>
              <c:numCache>
                <c:formatCode>#\ ###\ ;\(#\ ###\ \)</c:formatCode>
                <c:ptCount val="10"/>
                <c:pt idx="0">
                  <c:v>-16184000</c:v>
                </c:pt>
                <c:pt idx="1">
                  <c:v>-9071000</c:v>
                </c:pt>
                <c:pt idx="2">
                  <c:v>-13874000</c:v>
                </c:pt>
                <c:pt idx="3">
                  <c:v>-20981000</c:v>
                </c:pt>
                <c:pt idx="5">
                  <c:v>-20981000</c:v>
                </c:pt>
                <c:pt idx="6">
                  <c:v>-20981000</c:v>
                </c:pt>
                <c:pt idx="7">
                  <c:v>3007000</c:v>
                </c:pt>
                <c:pt idx="8">
                  <c:v>-29808000</c:v>
                </c:pt>
                <c:pt idx="9">
                  <c:v>-38354000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Misc!$A$4</c:f>
              <c:strCache>
                <c:ptCount val="1"/>
                <c:pt idx="0">
                  <c:v>Cash Flow - Financing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Misc!$B$4:$K$4</c:f>
              <c:numCache>
                <c:formatCode>#\ ###\ ;\(#\ ###\ \)</c:formatCode>
                <c:ptCount val="10"/>
                <c:pt idx="0">
                  <c:v>-4280000</c:v>
                </c:pt>
                <c:pt idx="1">
                  <c:v>-4234000</c:v>
                </c:pt>
                <c:pt idx="2">
                  <c:v>-2103000</c:v>
                </c:pt>
                <c:pt idx="3">
                  <c:v>18632000</c:v>
                </c:pt>
                <c:pt idx="5">
                  <c:v>18632000</c:v>
                </c:pt>
                <c:pt idx="6">
                  <c:v>18632000</c:v>
                </c:pt>
                <c:pt idx="7">
                  <c:v>-7502000</c:v>
                </c:pt>
                <c:pt idx="8">
                  <c:v>-1299000</c:v>
                </c:pt>
                <c:pt idx="9">
                  <c:v>-1364000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65912"/>
        <c:axId val="435066304"/>
      </c:lineChart>
      <c:catAx>
        <c:axId val="43506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6304"/>
        <c:crosses val="autoZero"/>
        <c:auto val="1"/>
        <c:lblAlgn val="ctr"/>
        <c:lblOffset val="100"/>
        <c:tickMarkSkip val="1"/>
        <c:noMultiLvlLbl val="0"/>
      </c:catAx>
      <c:valAx>
        <c:axId val="435066304"/>
        <c:scaling>
          <c:orientation val="minMax"/>
          <c:max val="4500000"/>
          <c:min val="-45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0.11977730499564991"/>
              <c:y val="0.46400111986001746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5912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Service charges - Revenue % change - Chart A22</a:t>
            </a:r>
          </a:p>
        </c:rich>
      </c:tx>
      <c:layout>
        <c:manualLayout>
          <c:xMode val="edge"/>
          <c:yMode val="edge"/>
          <c:x val="0.3903569772832638"/>
          <c:y val="1.11358574610244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37969401947149"/>
          <c:y val="1.3363028953229399E-2"/>
          <c:w val="0.66342141863699577"/>
          <c:h val="0.62583518930957682"/>
        </c:manualLayout>
      </c:layout>
      <c:lineChart>
        <c:grouping val="standard"/>
        <c:varyColors val="0"/>
        <c:ser>
          <c:idx val="0"/>
          <c:order val="0"/>
          <c:tx>
            <c:strRef>
              <c:f>Misc!$A$32</c:f>
              <c:strCache>
                <c:ptCount val="1"/>
                <c:pt idx="0">
                  <c:v>% incr total service charges (incl prop rates)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Misc!$B$32:$K$32</c:f>
              <c:numCache>
                <c:formatCode>0.0%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5.3999999999999999E-2</c:v>
                </c:pt>
                <c:pt idx="4">
                  <c:v>5.3999999999999999E-2</c:v>
                </c:pt>
                <c:pt idx="5">
                  <c:v>5.3999999999999999E-2</c:v>
                </c:pt>
                <c:pt idx="6">
                  <c:v>5.3999999999999999E-2</c:v>
                </c:pt>
                <c:pt idx="7">
                  <c:v>5.5E-2</c:v>
                </c:pt>
                <c:pt idx="8">
                  <c:v>5.0999999999999997E-2</c:v>
                </c:pt>
                <c:pt idx="9">
                  <c:v>4.9000000000000002E-2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Misc!$A$33</c:f>
              <c:strCache>
                <c:ptCount val="1"/>
                <c:pt idx="0">
                  <c:v>% incr Property Tax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Misc!$B$33:$K$33</c:f>
              <c:numCache>
                <c:formatCode>0.0%</c:formatCode>
                <c:ptCount val="10"/>
              </c:numCache>
            </c:numRef>
          </c:val>
          <c:smooth val="0"/>
        </c:ser>
        <c:ser>
          <c:idx val="2"/>
          <c:order val="2"/>
          <c:tx>
            <c:strRef>
              <c:f>Misc!$A$34</c:f>
              <c:strCache>
                <c:ptCount val="1"/>
                <c:pt idx="0">
                  <c:v>% incr Service charges - electricity revenue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Misc!$B$34:$K$34</c:f>
              <c:numCache>
                <c:formatCode>0.0%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5.3999999999999999E-2</c:v>
                </c:pt>
                <c:pt idx="4">
                  <c:v>5.3999999999999999E-2</c:v>
                </c:pt>
                <c:pt idx="5">
                  <c:v>5.3999999999999999E-2</c:v>
                </c:pt>
                <c:pt idx="6">
                  <c:v>5.3999999999999999E-2</c:v>
                </c:pt>
                <c:pt idx="7">
                  <c:v>5.5E-2</c:v>
                </c:pt>
                <c:pt idx="8">
                  <c:v>5.0999999999999997E-2</c:v>
                </c:pt>
                <c:pt idx="9">
                  <c:v>4.9000000000000002E-2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Misc!$A$35</c:f>
              <c:strCache>
                <c:ptCount val="1"/>
                <c:pt idx="0">
                  <c:v>% incr Service charges - water revenue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Misc!$B$35:$K$35</c:f>
              <c:numCache>
                <c:formatCode>0.0%</c:formatCode>
                <c:ptCount val="10"/>
              </c:numCache>
            </c:numRef>
          </c:val>
          <c:smooth val="0"/>
        </c:ser>
        <c:ser>
          <c:idx val="4"/>
          <c:order val="4"/>
          <c:tx>
            <c:strRef>
              <c:f>Misc!$A$36</c:f>
              <c:strCache>
                <c:ptCount val="1"/>
                <c:pt idx="0">
                  <c:v>% incr Service charges - sanitation revenue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Misc!$B$36:$K$36</c:f>
              <c:numCache>
                <c:formatCode>0.0%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5.3999999999999999E-2</c:v>
                </c:pt>
                <c:pt idx="4">
                  <c:v>5.3999999999999999E-2</c:v>
                </c:pt>
                <c:pt idx="5">
                  <c:v>5.3999999999999999E-2</c:v>
                </c:pt>
                <c:pt idx="6">
                  <c:v>5.3999999999999999E-2</c:v>
                </c:pt>
                <c:pt idx="7">
                  <c:v>5.5E-2</c:v>
                </c:pt>
                <c:pt idx="8">
                  <c:v>5.0999999999999997E-2</c:v>
                </c:pt>
                <c:pt idx="9">
                  <c:v>4.9000000000000002E-2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Misc!$A$37</c:f>
              <c:strCache>
                <c:ptCount val="1"/>
                <c:pt idx="0">
                  <c:v>% incr Service charges - refuse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Misc!$B$37:$K$37</c:f>
              <c:numCache>
                <c:formatCode>0.0%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5.3999999999999999E-2</c:v>
                </c:pt>
                <c:pt idx="4">
                  <c:v>5.3999999999999999E-2</c:v>
                </c:pt>
                <c:pt idx="5">
                  <c:v>5.3999999999999999E-2</c:v>
                </c:pt>
                <c:pt idx="6">
                  <c:v>5.3999999999999999E-2</c:v>
                </c:pt>
                <c:pt idx="7">
                  <c:v>5.5E-2</c:v>
                </c:pt>
                <c:pt idx="8">
                  <c:v>5.0999999999999997E-2</c:v>
                </c:pt>
                <c:pt idx="9">
                  <c:v>4.9000000000000002E-2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Misc!$A$38</c:f>
              <c:strCache>
                <c:ptCount val="1"/>
                <c:pt idx="0">
                  <c:v>% incr in Service charges - other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Misc!$B$38:$K$38</c:f>
              <c:numCache>
                <c:formatCode>0.0%</c:formatCode>
                <c:ptCount val="10"/>
                <c:pt idx="0">
                  <c:v>1.2E-2</c:v>
                </c:pt>
                <c:pt idx="1">
                  <c:v>1.2E-2</c:v>
                </c:pt>
                <c:pt idx="2">
                  <c:v>1.2E-2</c:v>
                </c:pt>
                <c:pt idx="3">
                  <c:v>1.2E-2</c:v>
                </c:pt>
                <c:pt idx="4">
                  <c:v>1.2E-2</c:v>
                </c:pt>
                <c:pt idx="5">
                  <c:v>1.2E-2</c:v>
                </c:pt>
                <c:pt idx="6">
                  <c:v>1.2E-2</c:v>
                </c:pt>
                <c:pt idx="7">
                  <c:v>1.2E-2</c:v>
                </c:pt>
                <c:pt idx="8">
                  <c:v>1.2E-2</c:v>
                </c:pt>
                <c:pt idx="9">
                  <c:v>1.2E-2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67480"/>
        <c:axId val="435067872"/>
      </c:lineChart>
      <c:catAx>
        <c:axId val="43506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7872"/>
        <c:crosses val="autoZero"/>
        <c:auto val="1"/>
        <c:lblAlgn val="ctr"/>
        <c:lblOffset val="100"/>
        <c:tickMarkSkip val="1"/>
        <c:noMultiLvlLbl val="0"/>
      </c:catAx>
      <c:valAx>
        <c:axId val="435067872"/>
        <c:scaling>
          <c:orientation val="minMax"/>
          <c:max val="0.2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8.0667593880389424E-2"/>
              <c:y val="0.3474387527839643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7480"/>
        <c:crosses val="autoZero"/>
        <c:crossBetween val="between"/>
        <c:majorUnit val="0.05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collection - Chart A18</a:t>
            </a:r>
          </a:p>
        </c:rich>
      </c:tx>
      <c:layout>
        <c:manualLayout>
          <c:xMode val="edge"/>
          <c:yMode val="edge"/>
          <c:x val="0.3657858136300417"/>
          <c:y val="1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76077885952713"/>
          <c:y val="7.7333534722746677E-2"/>
          <c:w val="0.80667593880389432"/>
          <c:h val="0.7653353263940792"/>
        </c:manualLayout>
      </c:layout>
      <c:lineChart>
        <c:grouping val="standard"/>
        <c:varyColors val="0"/>
        <c:ser>
          <c:idx val="0"/>
          <c:order val="0"/>
          <c:tx>
            <c:strRef>
              <c:f>Misc!$A$72</c:f>
              <c:strCache>
                <c:ptCount val="1"/>
                <c:pt idx="0">
                  <c:v>Annual Debtors Collection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Misc!$B$72:$K$72</c:f>
              <c:numCache>
                <c:formatCode>0.0%</c:formatCode>
                <c:ptCount val="10"/>
                <c:pt idx="1">
                  <c:v>0.9</c:v>
                </c:pt>
                <c:pt idx="2">
                  <c:v>0.6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0.90900000000000003</c:v>
                </c:pt>
                <c:pt idx="8">
                  <c:v>0.95</c:v>
                </c:pt>
                <c:pt idx="9">
                  <c:v>0.93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Misc!$A$73</c:f>
              <c:strCache>
                <c:ptCount val="1"/>
                <c:pt idx="0">
                  <c:v>O/S Debtors to Revenue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Misc!$B$73:$K$73</c:f>
              <c:numCache>
                <c:formatCode>0.0%</c:formatCode>
                <c:ptCount val="10"/>
                <c:pt idx="0">
                  <c:v>0.13</c:v>
                </c:pt>
                <c:pt idx="1">
                  <c:v>0.16600000000000001</c:v>
                </c:pt>
                <c:pt idx="2">
                  <c:v>0.09</c:v>
                </c:pt>
                <c:pt idx="3">
                  <c:v>0.126</c:v>
                </c:pt>
                <c:pt idx="4">
                  <c:v>0.126</c:v>
                </c:pt>
                <c:pt idx="5">
                  <c:v>0.126</c:v>
                </c:pt>
                <c:pt idx="6">
                  <c:v>0.126</c:v>
                </c:pt>
                <c:pt idx="7">
                  <c:v>0.1</c:v>
                </c:pt>
                <c:pt idx="8">
                  <c:v>0.05</c:v>
                </c:pt>
                <c:pt idx="9">
                  <c:v>7.2999999999999995E-2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69048"/>
        <c:axId val="435069440"/>
      </c:lineChart>
      <c:catAx>
        <c:axId val="43506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9440"/>
        <c:crosses val="autoZero"/>
        <c:auto val="1"/>
        <c:lblAlgn val="ctr"/>
        <c:lblOffset val="100"/>
        <c:tickMarkSkip val="1"/>
        <c:noMultiLvlLbl val="0"/>
      </c:catAx>
      <c:valAx>
        <c:axId val="4350694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9048"/>
        <c:crosses val="autoZero"/>
        <c:crossBetween val="between"/>
        <c:majorUnit val="0.2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Debt (borrowing as a % of total revenue collection) - Chart A17</a:t>
            </a:r>
          </a:p>
        </c:rich>
      </c:tx>
      <c:layout>
        <c:manualLayout>
          <c:xMode val="edge"/>
          <c:yMode val="edge"/>
          <c:x val="0.227019644828519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65516439379983E-2"/>
          <c:y val="7.7127759734146095E-2"/>
          <c:w val="0.91086412918924176"/>
          <c:h val="0.8031925324038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Misc!$A$71</c:f>
              <c:strCache>
                <c:ptCount val="1"/>
                <c:pt idx="0">
                  <c:v>Borrowing</c:v>
                </c:pt>
              </c:strCache>
            </c:strRef>
          </c:tx>
          <c:spPr>
            <a:solidFill>
              <a:srgbClr val="0000FF"/>
            </a:solidFill>
            <a:ln w="381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Misc!$B$71:$K$71</c:f>
              <c:numCache>
                <c:formatCode>0.0%</c:formatCode>
                <c:ptCount val="10"/>
                <c:pt idx="0">
                  <c:v>-5.5E-2</c:v>
                </c:pt>
                <c:pt idx="1">
                  <c:v>1.6E-2</c:v>
                </c:pt>
                <c:pt idx="2">
                  <c:v>0.121</c:v>
                </c:pt>
                <c:pt idx="3">
                  <c:v>6.0000000000000001E-3</c:v>
                </c:pt>
                <c:pt idx="4">
                  <c:v>6.0000000000000001E-3</c:v>
                </c:pt>
                <c:pt idx="5">
                  <c:v>6.0000000000000001E-3</c:v>
                </c:pt>
                <c:pt idx="6">
                  <c:v>6.0000000000000001E-3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070616"/>
        <c:axId val="435071008"/>
      </c:barChart>
      <c:catAx>
        <c:axId val="43507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71008"/>
        <c:crosses val="autoZero"/>
        <c:auto val="1"/>
        <c:lblAlgn val="ctr"/>
        <c:lblOffset val="100"/>
        <c:tickMarkSkip val="1"/>
        <c:noMultiLvlLbl val="0"/>
      </c:catAx>
      <c:valAx>
        <c:axId val="435071008"/>
        <c:scaling>
          <c:orientation val="minMax"/>
          <c:max val="0.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70616"/>
        <c:crosses val="autoZero"/>
        <c:crossBetween val="between"/>
        <c:majorUnit val="0.2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Distribution losses - Chart A19</a:t>
            </a:r>
          </a:p>
        </c:rich>
      </c:tx>
      <c:layout>
        <c:manualLayout>
          <c:xMode val="edge"/>
          <c:yMode val="edge"/>
          <c:x val="0.37083377077865265"/>
          <c:y val="1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5569872463477"/>
          <c:y val="7.7333534722746677E-2"/>
          <c:w val="0.88889009452324019"/>
          <c:h val="0.7653353263940792"/>
        </c:manualLayout>
      </c:layout>
      <c:lineChart>
        <c:grouping val="standard"/>
        <c:varyColors val="0"/>
        <c:ser>
          <c:idx val="0"/>
          <c:order val="0"/>
          <c:tx>
            <c:strRef>
              <c:f>Misc!$A$126</c:f>
              <c:strCache>
                <c:ptCount val="1"/>
                <c:pt idx="0">
                  <c:v>Electricity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Misc!$B$126:$K$126</c:f>
              <c:numCache>
                <c:formatCode>0%</c:formatCode>
                <c:ptCount val="10"/>
                <c:pt idx="0" formatCode="0.00%">
                  <c:v>0.03</c:v>
                </c:pt>
                <c:pt idx="1">
                  <c:v>0.03</c:v>
                </c:pt>
                <c:pt idx="2">
                  <c:v>0.03</c:v>
                </c:pt>
                <c:pt idx="3" formatCode="0.00%">
                  <c:v>0.03</c:v>
                </c:pt>
                <c:pt idx="4" formatCode="0.00%">
                  <c:v>0.03</c:v>
                </c:pt>
                <c:pt idx="5" formatCode="0.00%">
                  <c:v>0.03</c:v>
                </c:pt>
                <c:pt idx="6" formatCode="0.00%">
                  <c:v>0.03</c:v>
                </c:pt>
                <c:pt idx="7" formatCode="0.00%">
                  <c:v>0.03</c:v>
                </c:pt>
                <c:pt idx="8" formatCode="0.00%">
                  <c:v>0.03</c:v>
                </c:pt>
                <c:pt idx="9" formatCode="0.00%">
                  <c:v>0.03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Misc!$A$127</c:f>
              <c:strCache>
                <c:ptCount val="1"/>
                <c:pt idx="0">
                  <c:v>Water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Misc!$B$127:$K$127</c:f>
              <c:numCache>
                <c:formatCode>0.00%</c:formatCode>
                <c:ptCount val="10"/>
                <c:pt idx="0">
                  <c:v>4.9000000000000002E-2</c:v>
                </c:pt>
                <c:pt idx="1">
                  <c:v>4.9000000000000002E-2</c:v>
                </c:pt>
                <c:pt idx="2">
                  <c:v>4.9000000000000002E-2</c:v>
                </c:pt>
                <c:pt idx="3">
                  <c:v>4.9000000000000002E-2</c:v>
                </c:pt>
                <c:pt idx="4">
                  <c:v>4.9000000000000002E-2</c:v>
                </c:pt>
                <c:pt idx="5">
                  <c:v>4.9000000000000002E-2</c:v>
                </c:pt>
                <c:pt idx="6">
                  <c:v>4.9000000000000002E-2</c:v>
                </c:pt>
                <c:pt idx="7">
                  <c:v>4.9000000000000002E-2</c:v>
                </c:pt>
                <c:pt idx="8">
                  <c:v>4.9000000000000002E-2</c:v>
                </c:pt>
                <c:pt idx="9">
                  <c:v>4.9000000000000002E-2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95192"/>
        <c:axId val="225495584"/>
      </c:lineChart>
      <c:catAx>
        <c:axId val="22549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495584"/>
        <c:crosses val="autoZero"/>
        <c:auto val="1"/>
        <c:lblAlgn val="ctr"/>
        <c:lblOffset val="100"/>
        <c:tickMarkSkip val="1"/>
        <c:noMultiLvlLbl val="0"/>
      </c:catAx>
      <c:valAx>
        <c:axId val="2254955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495192"/>
        <c:crosses val="autoZero"/>
        <c:crossBetween val="between"/>
        <c:majorUnit val="0.2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2007/08 MTREF - Capital Program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Capital budget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1"/>
          <c:order val="1"/>
          <c:tx>
            <c:v>Capital budget - Munitoria PPP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2"/>
          <c:order val="2"/>
          <c:tx>
            <c:v>Capital expenditure - own funds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ser>
          <c:idx val="3"/>
          <c:order val="3"/>
          <c:tx>
            <c:v>Capital grants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2005/06</c:v>
              </c:pt>
              <c:pt idx="1">
                <c:v>Current Year 2006/07</c:v>
              </c:pt>
              <c:pt idx="2">
                <c:v>Budget Year 2007/08</c:v>
              </c:pt>
              <c:pt idx="3">
                <c:v>Budget Year +1 2008/09</c:v>
              </c:pt>
              <c:pt idx="4">
                <c:v>Budget Year +2 2009/10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936520"/>
        <c:axId val="214946440"/>
        <c:axId val="0"/>
      </c:bar3DChart>
      <c:catAx>
        <c:axId val="21793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946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946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7936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Borrowed capex funding - Chart A20</a:t>
            </a:r>
          </a:p>
        </c:rich>
      </c:tx>
      <c:layout>
        <c:manualLayout>
          <c:xMode val="edge"/>
          <c:yMode val="edge"/>
          <c:x val="0.34119307902046225"/>
          <c:y val="1.329787234042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1829037787305"/>
          <c:y val="7.7127759734146095E-2"/>
          <c:w val="0.81553453288518885"/>
          <c:h val="0.80319253240386623"/>
        </c:manualLayout>
      </c:layout>
      <c:lineChart>
        <c:grouping val="standard"/>
        <c:varyColors val="0"/>
        <c:ser>
          <c:idx val="0"/>
          <c:order val="0"/>
          <c:tx>
            <c:strRef>
              <c:f>Misc!$A$154</c:f>
              <c:strCache>
                <c:ptCount val="1"/>
                <c:pt idx="0">
                  <c:v>Borrowed capex funding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trendline>
            <c:spPr>
              <a:ln w="38100">
                <a:solidFill>
                  <a:srgbClr val="FF0000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Misc!$B$154:$K$154</c:f>
              <c:numCache>
                <c:formatCode>0%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96760"/>
        <c:axId val="225497152"/>
      </c:lineChart>
      <c:catAx>
        <c:axId val="225496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497152"/>
        <c:crosses val="autoZero"/>
        <c:auto val="1"/>
        <c:lblAlgn val="ctr"/>
        <c:lblOffset val="100"/>
        <c:tickMarkSkip val="1"/>
        <c:noMultiLvlLbl val="0"/>
      </c:catAx>
      <c:valAx>
        <c:axId val="22549715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496760"/>
        <c:crosses val="autoZero"/>
        <c:crossBetween val="between"/>
        <c:majorUnit val="0.2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Expenditure analysis (of Total Revenue) - Chart A21</a:t>
            </a:r>
          </a:p>
        </c:rich>
      </c:tx>
      <c:layout>
        <c:manualLayout>
          <c:xMode val="edge"/>
          <c:yMode val="edge"/>
          <c:x val="0.27562326869806092"/>
          <c:y val="1.3262599469496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52631578947367"/>
          <c:y val="7.6923076923076927E-2"/>
          <c:w val="0.78393351800554012"/>
          <c:h val="0.69230769230769229"/>
        </c:manualLayout>
      </c:layout>
      <c:lineChart>
        <c:grouping val="standard"/>
        <c:varyColors val="0"/>
        <c:ser>
          <c:idx val="0"/>
          <c:order val="0"/>
          <c:tx>
            <c:strRef>
              <c:f>Misc!$A$182</c:f>
              <c:strCache>
                <c:ptCount val="1"/>
                <c:pt idx="0">
                  <c:v>Employee costs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Misc!$B$182:$K$182</c:f>
              <c:numCache>
                <c:formatCode>0.0%</c:formatCode>
                <c:ptCount val="10"/>
                <c:pt idx="0">
                  <c:v>0.378</c:v>
                </c:pt>
                <c:pt idx="1">
                  <c:v>0.30499999999999999</c:v>
                </c:pt>
                <c:pt idx="2">
                  <c:v>0.158</c:v>
                </c:pt>
                <c:pt idx="3">
                  <c:v>0.32100000000000001</c:v>
                </c:pt>
                <c:pt idx="4">
                  <c:v>0.32100000000000001</c:v>
                </c:pt>
                <c:pt idx="5">
                  <c:v>0.32100000000000001</c:v>
                </c:pt>
                <c:pt idx="6">
                  <c:v>0.32100000000000001</c:v>
                </c:pt>
                <c:pt idx="7">
                  <c:v>0.33</c:v>
                </c:pt>
                <c:pt idx="8">
                  <c:v>0.33</c:v>
                </c:pt>
                <c:pt idx="9" formatCode="0.00%">
                  <c:v>0.33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Misc!$A$183</c:f>
              <c:strCache>
                <c:ptCount val="1"/>
                <c:pt idx="0">
                  <c:v>Remuneration of councillors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Misc!$B$183:$K$183</c:f>
              <c:numCache>
                <c:formatCode>0.0%</c:formatCode>
                <c:ptCount val="10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0.08</c:v>
                </c:pt>
                <c:pt idx="6">
                  <c:v>8.6999999999999994E-2</c:v>
                </c:pt>
                <c:pt idx="7">
                  <c:v>8.7999999999999995E-2</c:v>
                </c:pt>
                <c:pt idx="8">
                  <c:v>8.8999999999999996E-2</c:v>
                </c:pt>
                <c:pt idx="9" formatCode="0%">
                  <c:v>8.8999999999999996E-2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Misc!$A$184</c:f>
              <c:strCache>
                <c:ptCount val="1"/>
                <c:pt idx="0">
                  <c:v>Repairs &amp; Maintenance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Misc!$B$184:$K$184</c:f>
              <c:numCache>
                <c:formatCode>0.0%</c:formatCode>
                <c:ptCount val="10"/>
                <c:pt idx="0">
                  <c:v>0.08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0.15</c:v>
                </c:pt>
                <c:pt idx="7">
                  <c:v>0.15</c:v>
                </c:pt>
                <c:pt idx="8">
                  <c:v>0.20699999999999999</c:v>
                </c:pt>
                <c:pt idx="9" formatCode="0.00%">
                  <c:v>0.20699999999999999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Misc!$A$185</c:f>
              <c:strCache>
                <c:ptCount val="1"/>
                <c:pt idx="0">
                  <c:v>Finance charges &amp; Depreciation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Misc!$B$1:$K$1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Misc!$B$185:$K$185</c:f>
              <c:numCache>
                <c:formatCode>0.0%</c:formatCode>
                <c:ptCount val="10"/>
                <c:pt idx="0">
                  <c:v>0.47</c:v>
                </c:pt>
                <c:pt idx="1">
                  <c:v>0.53</c:v>
                </c:pt>
                <c:pt idx="2">
                  <c:v>0.68</c:v>
                </c:pt>
                <c:pt idx="3">
                  <c:v>0.5</c:v>
                </c:pt>
                <c:pt idx="4">
                  <c:v>0.51</c:v>
                </c:pt>
                <c:pt idx="5">
                  <c:v>0.51</c:v>
                </c:pt>
                <c:pt idx="6">
                  <c:v>0.45</c:v>
                </c:pt>
                <c:pt idx="7">
                  <c:v>0.44</c:v>
                </c:pt>
                <c:pt idx="8">
                  <c:v>0.38</c:v>
                </c:pt>
                <c:pt idx="9">
                  <c:v>0.38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98328"/>
        <c:axId val="225498720"/>
      </c:lineChart>
      <c:catAx>
        <c:axId val="225498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498720"/>
        <c:crosses val="autoZero"/>
        <c:auto val="1"/>
        <c:lblAlgn val="ctr"/>
        <c:lblOffset val="100"/>
        <c:tickMarkSkip val="1"/>
        <c:noMultiLvlLbl val="0"/>
      </c:catAx>
      <c:valAx>
        <c:axId val="225498720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498328"/>
        <c:crosses val="autoZero"/>
        <c:crossBetween val="between"/>
        <c:majorUnit val="0.1"/>
        <c:minorUnit val="2.5000000000000001E-3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Borrowed capital ratio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#REF!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smooth val="0"/>
        </c:ser>
        <c:ser>
          <c:idx val="0"/>
          <c:order val="1"/>
          <c:tx>
            <c:v>Prudential Target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5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</c:numLit>
          </c:val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4"/>
          <c:tx>
            <c:v/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5"/>
          <c:order val="5"/>
          <c:tx>
            <c:v/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47224"/>
        <c:axId val="214947616"/>
      </c:lineChart>
      <c:catAx>
        <c:axId val="21494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947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4947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947224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Major - Chart A5(a)</a:t>
            </a:r>
          </a:p>
        </c:rich>
      </c:tx>
      <c:layout>
        <c:manualLayout>
          <c:xMode val="edge"/>
          <c:yMode val="edge"/>
          <c:x val="0.39267501159017154"/>
          <c:y val="7.3386383731211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96801112656466"/>
          <c:y val="3.4482758620689655E-2"/>
          <c:w val="0.78164116828929064"/>
          <c:h val="0.69230769230769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FinPerform!$A$16</c:f>
              <c:strCache>
                <c:ptCount val="1"/>
                <c:pt idx="0">
                  <c:v>Transfers recognised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FinPerform!$B$16:$K$16</c:f>
              <c:numCache>
                <c:formatCode>#\ ###\ ;\(#\ ###\ \)</c:formatCode>
                <c:ptCount val="10"/>
                <c:pt idx="0">
                  <c:v>34146000</c:v>
                </c:pt>
                <c:pt idx="1">
                  <c:v>46576000</c:v>
                </c:pt>
                <c:pt idx="2">
                  <c:v>34516000</c:v>
                </c:pt>
                <c:pt idx="3">
                  <c:v>37033000</c:v>
                </c:pt>
                <c:pt idx="4">
                  <c:v>0</c:v>
                </c:pt>
                <c:pt idx="5">
                  <c:v>37033000</c:v>
                </c:pt>
                <c:pt idx="6">
                  <c:v>37033000</c:v>
                </c:pt>
                <c:pt idx="7">
                  <c:v>42767000</c:v>
                </c:pt>
                <c:pt idx="8">
                  <c:v>50537000</c:v>
                </c:pt>
                <c:pt idx="9">
                  <c:v>54181000</c:v>
                </c:pt>
              </c:numCache>
            </c:numRef>
          </c:val>
        </c:ser>
        <c:ser>
          <c:idx val="1"/>
          <c:order val="1"/>
          <c:tx>
            <c:strRef>
              <c:f>FinPerform!$A$17</c:f>
              <c:strCache>
                <c:ptCount val="1"/>
                <c:pt idx="0">
                  <c:v>Service charges - water revenue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FinPerform!$B$17:$K$17</c:f>
              <c:numCache>
                <c:formatCode>#\ ###\ ;\(#\ ###\ \)</c:formatCode>
                <c:ptCount val="10"/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FinPerform!$A$18</c:f>
              <c:strCache>
                <c:ptCount val="1"/>
                <c:pt idx="0">
                  <c:v>Transfers recognised - capital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FinPerform!$B$18:$K$18</c:f>
              <c:numCache>
                <c:formatCode>#\ ###\ ;\(#\ ###\ \)</c:formatCode>
                <c:ptCount val="10"/>
                <c:pt idx="0">
                  <c:v>9665000</c:v>
                </c:pt>
                <c:pt idx="1">
                  <c:v>12039000</c:v>
                </c:pt>
                <c:pt idx="2">
                  <c:v>14604000</c:v>
                </c:pt>
                <c:pt idx="3">
                  <c:v>16844000</c:v>
                </c:pt>
                <c:pt idx="4">
                  <c:v>0</c:v>
                </c:pt>
                <c:pt idx="5">
                  <c:v>16844000</c:v>
                </c:pt>
                <c:pt idx="6">
                  <c:v>16844000</c:v>
                </c:pt>
                <c:pt idx="7">
                  <c:v>18943000</c:v>
                </c:pt>
                <c:pt idx="8">
                  <c:v>19808000</c:v>
                </c:pt>
                <c:pt idx="9">
                  <c:v>20522000</c:v>
                </c:pt>
              </c:numCache>
            </c:numRef>
          </c:val>
        </c:ser>
        <c:ser>
          <c:idx val="3"/>
          <c:order val="3"/>
          <c:tx>
            <c:strRef>
              <c:f>FinPerform!$A$19</c:f>
              <c:strCache>
                <c:ptCount val="1"/>
                <c:pt idx="0">
                  <c:v>Service charges - electricity revenue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FinPerform!$B$19:$K$19</c:f>
              <c:numCache>
                <c:formatCode>#\ ###\ ;\(#\ ###\ \)</c:formatCode>
                <c:ptCount val="10"/>
                <c:pt idx="0">
                  <c:v>53697000</c:v>
                </c:pt>
                <c:pt idx="1">
                  <c:v>69669000</c:v>
                </c:pt>
                <c:pt idx="2">
                  <c:v>93810000</c:v>
                </c:pt>
                <c:pt idx="3">
                  <c:v>90095000</c:v>
                </c:pt>
                <c:pt idx="4">
                  <c:v>0</c:v>
                </c:pt>
                <c:pt idx="5">
                  <c:v>90095000</c:v>
                </c:pt>
                <c:pt idx="6">
                  <c:v>90095000</c:v>
                </c:pt>
                <c:pt idx="7">
                  <c:v>85891000</c:v>
                </c:pt>
                <c:pt idx="8">
                  <c:v>91094000</c:v>
                </c:pt>
                <c:pt idx="9">
                  <c:v>95649000</c:v>
                </c:pt>
              </c:numCache>
            </c:numRef>
          </c:val>
        </c:ser>
        <c:ser>
          <c:idx val="4"/>
          <c:order val="4"/>
          <c:tx>
            <c:strRef>
              <c:f>FinPerform!$A$20</c:f>
              <c:strCache>
                <c:ptCount val="1"/>
                <c:pt idx="0">
                  <c:v>Property rates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FinPerform!$B$20:$K$20</c:f>
              <c:numCache>
                <c:formatCode>#\ ###\ ;\(#\ ###\ \)</c:formatCode>
                <c:ptCount val="10"/>
                <c:pt idx="0">
                  <c:v>10453000</c:v>
                </c:pt>
                <c:pt idx="1">
                  <c:v>10946000</c:v>
                </c:pt>
                <c:pt idx="2">
                  <c:v>9968000</c:v>
                </c:pt>
                <c:pt idx="3">
                  <c:v>12578000</c:v>
                </c:pt>
                <c:pt idx="4">
                  <c:v>0</c:v>
                </c:pt>
                <c:pt idx="5">
                  <c:v>12578000</c:v>
                </c:pt>
                <c:pt idx="6">
                  <c:v>12578000</c:v>
                </c:pt>
                <c:pt idx="7">
                  <c:v>11985000</c:v>
                </c:pt>
                <c:pt idx="8">
                  <c:v>12042000</c:v>
                </c:pt>
                <c:pt idx="9">
                  <c:v>13867000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916576"/>
        <c:axId val="357916968"/>
      </c:barChart>
      <c:catAx>
        <c:axId val="3579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916968"/>
        <c:crosses val="autoZero"/>
        <c:auto val="1"/>
        <c:lblAlgn val="ctr"/>
        <c:lblOffset val="100"/>
        <c:tickMarkSkip val="1"/>
        <c:noMultiLvlLbl val="0"/>
      </c:catAx>
      <c:valAx>
        <c:axId val="357916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851182197496523E-2"/>
              <c:y val="0.376657824933686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9165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Minor - Chart A6</a:t>
            </a:r>
          </a:p>
        </c:rich>
      </c:tx>
      <c:layout>
        <c:manualLayout>
          <c:xMode val="edge"/>
          <c:yMode val="edge"/>
          <c:x val="0.4513893263342082"/>
          <c:y val="2.66666666666666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66666666666667"/>
          <c:y val="3.7333333333333336E-2"/>
          <c:w val="0.77916666666666667"/>
          <c:h val="0.38666666666666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FinPerform!$A$2</c:f>
              <c:strCache>
                <c:ptCount val="1"/>
                <c:pt idx="0">
                  <c:v>Dividends received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FinPerform!$B$2:$K$2</c:f>
              <c:numCache>
                <c:formatCode>#\ ###\ ;\(#\ ###\ \)</c:formatCode>
                <c:ptCount val="10"/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FinPerform!$A$3</c:f>
              <c:strCache>
                <c:ptCount val="1"/>
                <c:pt idx="0">
                  <c:v>Agency services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FinPerform!$B$3:$K$3</c:f>
              <c:numCache>
                <c:formatCode>#\ ###\ ;\(#\ ###\ \)</c:formatCode>
                <c:ptCount val="10"/>
                <c:pt idx="0">
                  <c:v>986000</c:v>
                </c:pt>
                <c:pt idx="1">
                  <c:v>0</c:v>
                </c:pt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FinPerform!$A$4</c:f>
              <c:strCache>
                <c:ptCount val="1"/>
                <c:pt idx="0">
                  <c:v>Contributions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FinPerform!$B$4:$K$4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FinPerform!$A$5</c:f>
              <c:strCache>
                <c:ptCount val="1"/>
                <c:pt idx="0">
                  <c:v>Contributed assets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FinPerform!$B$5:$K$5</c:f>
              <c:numCache>
                <c:formatCode>#\ ###\ ;\(#\ ###\ \)</c:formatCode>
                <c:ptCount val="10"/>
                <c:pt idx="5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FinPerform!$A$6</c:f>
              <c:strCache>
                <c:ptCount val="1"/>
                <c:pt idx="0">
                  <c:v>Licences and permits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FinPerform!$B$6:$K$6</c:f>
              <c:numCache>
                <c:formatCode>#\ ###\ ;\(#\ ###\ \)</c:formatCode>
                <c:ptCount val="10"/>
                <c:pt idx="0">
                  <c:v>2361000</c:v>
                </c:pt>
                <c:pt idx="1">
                  <c:v>2923000</c:v>
                </c:pt>
                <c:pt idx="2">
                  <c:v>1386000</c:v>
                </c:pt>
                <c:pt idx="3">
                  <c:v>1561000</c:v>
                </c:pt>
                <c:pt idx="4">
                  <c:v>0</c:v>
                </c:pt>
                <c:pt idx="5">
                  <c:v>1561000</c:v>
                </c:pt>
                <c:pt idx="6">
                  <c:v>1561000</c:v>
                </c:pt>
                <c:pt idx="7">
                  <c:v>1491000</c:v>
                </c:pt>
                <c:pt idx="8">
                  <c:v>1566000</c:v>
                </c:pt>
                <c:pt idx="9">
                  <c:v>1644000</c:v>
                </c:pt>
              </c:numCache>
            </c:numRef>
          </c:val>
        </c:ser>
        <c:ser>
          <c:idx val="5"/>
          <c:order val="5"/>
          <c:tx>
            <c:strRef>
              <c:f>FinPerform!$A$7</c:f>
              <c:strCache>
                <c:ptCount val="1"/>
                <c:pt idx="0">
                  <c:v>Gains on disposal of PPE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FinPerform!$B$7:$K$7</c:f>
              <c:numCache>
                <c:formatCode>#\ ###\ ;\(#\ ###\ \)</c:formatCode>
                <c:ptCount val="10"/>
                <c:pt idx="2">
                  <c:v>0</c:v>
                </c:pt>
                <c:pt idx="3">
                  <c:v>27928000</c:v>
                </c:pt>
                <c:pt idx="5">
                  <c:v>27928000</c:v>
                </c:pt>
                <c:pt idx="6">
                  <c:v>27928000</c:v>
                </c:pt>
                <c:pt idx="7">
                  <c:v>15970000</c:v>
                </c:pt>
                <c:pt idx="8">
                  <c:v>176000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FinPerform!$A$8</c:f>
              <c:strCache>
                <c:ptCount val="1"/>
                <c:pt idx="0">
                  <c:v>Service charges - sanitation revenue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FinPerform!$B$8:$K$8</c:f>
              <c:numCache>
                <c:formatCode>#\ ###\ ;\(#\ ###\ \)</c:formatCode>
                <c:ptCount val="10"/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FinPerform!$A$9</c:f>
              <c:strCache>
                <c:ptCount val="1"/>
                <c:pt idx="0">
                  <c:v>Interest earned - outstanding debtors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FinPerform!$B$9:$K$9</c:f>
              <c:numCache>
                <c:formatCode>#\ ###\ ;\(#\ ###\ \)</c:formatCode>
                <c:ptCount val="10"/>
                <c:pt idx="0">
                  <c:v>1448000</c:v>
                </c:pt>
                <c:pt idx="1">
                  <c:v>1565000</c:v>
                </c:pt>
                <c:pt idx="2">
                  <c:v>885000</c:v>
                </c:pt>
                <c:pt idx="3">
                  <c:v>1500000</c:v>
                </c:pt>
                <c:pt idx="4">
                  <c:v>0</c:v>
                </c:pt>
                <c:pt idx="5">
                  <c:v>1500000</c:v>
                </c:pt>
                <c:pt idx="6">
                  <c:v>1500000</c:v>
                </c:pt>
                <c:pt idx="7">
                  <c:v>750000</c:v>
                </c:pt>
                <c:pt idx="8">
                  <c:v>795000</c:v>
                </c:pt>
                <c:pt idx="9">
                  <c:v>835000</c:v>
                </c:pt>
              </c:numCache>
            </c:numRef>
          </c:val>
        </c:ser>
        <c:ser>
          <c:idx val="8"/>
          <c:order val="8"/>
          <c:tx>
            <c:strRef>
              <c:f>FinPerform!$A$10</c:f>
              <c:strCache>
                <c:ptCount val="1"/>
                <c:pt idx="0">
                  <c:v>Service charges - other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FinPerform!$B$10:$K$10</c:f>
              <c:numCache>
                <c:formatCode>#\ ###\ ;\(#\ ###\ 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FinPerform!$A$11</c:f>
              <c:strCache>
                <c:ptCount val="1"/>
                <c:pt idx="0">
                  <c:v>Rental of facilities and equipment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FinPerform!$B$11:$K$11</c:f>
              <c:numCache>
                <c:formatCode>#\ ###\ ;\(#\ ###\ \)</c:formatCode>
                <c:ptCount val="10"/>
                <c:pt idx="0">
                  <c:v>995000</c:v>
                </c:pt>
                <c:pt idx="1">
                  <c:v>206000</c:v>
                </c:pt>
                <c:pt idx="2">
                  <c:v>205000</c:v>
                </c:pt>
                <c:pt idx="3">
                  <c:v>215000</c:v>
                </c:pt>
                <c:pt idx="4">
                  <c:v>0</c:v>
                </c:pt>
                <c:pt idx="5">
                  <c:v>215000</c:v>
                </c:pt>
                <c:pt idx="6">
                  <c:v>215000</c:v>
                </c:pt>
                <c:pt idx="7">
                  <c:v>215000</c:v>
                </c:pt>
                <c:pt idx="8">
                  <c:v>228000</c:v>
                </c:pt>
                <c:pt idx="9">
                  <c:v>239000</c:v>
                </c:pt>
              </c:numCache>
            </c:numRef>
          </c:val>
        </c:ser>
        <c:ser>
          <c:idx val="10"/>
          <c:order val="10"/>
          <c:tx>
            <c:strRef>
              <c:f>FinPerform!$A$12</c:f>
              <c:strCache>
                <c:ptCount val="1"/>
                <c:pt idx="0">
                  <c:v>Service charges - refuse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FinPerform!$B$12:$K$12</c:f>
              <c:numCache>
                <c:formatCode>#\ ###\ ;\(#\ ###\ \)</c:formatCode>
                <c:ptCount val="10"/>
                <c:pt idx="0">
                  <c:v>6030000</c:v>
                </c:pt>
                <c:pt idx="1">
                  <c:v>6555000</c:v>
                </c:pt>
                <c:pt idx="2">
                  <c:v>5407000</c:v>
                </c:pt>
                <c:pt idx="3">
                  <c:v>7449000</c:v>
                </c:pt>
                <c:pt idx="4">
                  <c:v>0</c:v>
                </c:pt>
                <c:pt idx="5">
                  <c:v>7449000</c:v>
                </c:pt>
                <c:pt idx="6">
                  <c:v>7449000</c:v>
                </c:pt>
                <c:pt idx="7">
                  <c:v>8655000</c:v>
                </c:pt>
                <c:pt idx="8">
                  <c:v>8655000</c:v>
                </c:pt>
                <c:pt idx="9">
                  <c:v>9250000</c:v>
                </c:pt>
              </c:numCache>
            </c:numRef>
          </c:val>
        </c:ser>
        <c:ser>
          <c:idx val="11"/>
          <c:order val="11"/>
          <c:tx>
            <c:strRef>
              <c:f>FinPerform!$A$13</c:f>
              <c:strCache>
                <c:ptCount val="1"/>
                <c:pt idx="0">
                  <c:v>Other revenue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FinPerform!$B$13:$K$13</c:f>
              <c:numCache>
                <c:formatCode>#\ ###\ ;\(#\ ###\ \)</c:formatCode>
                <c:ptCount val="10"/>
                <c:pt idx="0">
                  <c:v>4542000</c:v>
                </c:pt>
                <c:pt idx="1">
                  <c:v>9035000</c:v>
                </c:pt>
                <c:pt idx="2">
                  <c:v>23449000</c:v>
                </c:pt>
                <c:pt idx="3">
                  <c:v>17713000</c:v>
                </c:pt>
                <c:pt idx="4">
                  <c:v>0</c:v>
                </c:pt>
                <c:pt idx="5">
                  <c:v>17713000</c:v>
                </c:pt>
                <c:pt idx="6">
                  <c:v>17713000</c:v>
                </c:pt>
                <c:pt idx="7">
                  <c:v>17704000</c:v>
                </c:pt>
                <c:pt idx="8">
                  <c:v>9967000</c:v>
                </c:pt>
                <c:pt idx="9">
                  <c:v>5837000</c:v>
                </c:pt>
              </c:numCache>
            </c:numRef>
          </c:val>
        </c:ser>
        <c:ser>
          <c:idx val="12"/>
          <c:order val="12"/>
          <c:tx>
            <c:strRef>
              <c:f>FinPerform!$A$14</c:f>
              <c:strCache>
                <c:ptCount val="1"/>
                <c:pt idx="0">
                  <c:v>Fines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FinPerform!$B$14:$K$14</c:f>
              <c:numCache>
                <c:formatCode>#\ ###\ ;\(#\ ###\ \)</c:formatCode>
                <c:ptCount val="10"/>
                <c:pt idx="0">
                  <c:v>1435000</c:v>
                </c:pt>
                <c:pt idx="1">
                  <c:v>2202000</c:v>
                </c:pt>
                <c:pt idx="2">
                  <c:v>1629000</c:v>
                </c:pt>
                <c:pt idx="3">
                  <c:v>3000000</c:v>
                </c:pt>
                <c:pt idx="4">
                  <c:v>0</c:v>
                </c:pt>
                <c:pt idx="5">
                  <c:v>3000000</c:v>
                </c:pt>
                <c:pt idx="6">
                  <c:v>3000000</c:v>
                </c:pt>
                <c:pt idx="7">
                  <c:v>1800000</c:v>
                </c:pt>
                <c:pt idx="8">
                  <c:v>1908000</c:v>
                </c:pt>
                <c:pt idx="9">
                  <c:v>2003000</c:v>
                </c:pt>
              </c:numCache>
            </c:numRef>
          </c:val>
        </c:ser>
        <c:ser>
          <c:idx val="13"/>
          <c:order val="13"/>
          <c:tx>
            <c:strRef>
              <c:f>FinPerform!$A$15</c:f>
              <c:strCache>
                <c:ptCount val="1"/>
                <c:pt idx="0">
                  <c:v>Interest earned - external investments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FinPerform!$B$1:$K$1</c:f>
              <c:strCache>
                <c:ptCount val="10"/>
                <c:pt idx="0">
                  <c:v>10/11 AUD</c:v>
                </c:pt>
                <c:pt idx="1">
                  <c:v>11/12 AUD</c:v>
                </c:pt>
                <c:pt idx="2">
                  <c:v> 12/13 AUD</c:v>
                </c:pt>
                <c:pt idx="3">
                  <c:v> 13/14 BUD</c:v>
                </c:pt>
                <c:pt idx="4">
                  <c:v>  13/14 ADJ</c:v>
                </c:pt>
                <c:pt idx="5">
                  <c:v> 13/14 FCST</c:v>
                </c:pt>
                <c:pt idx="6">
                  <c:v>13/14 ACT</c:v>
                </c:pt>
                <c:pt idx="7">
                  <c:v>Budget Year 14/15</c:v>
                </c:pt>
                <c:pt idx="8">
                  <c:v>Budget Year +1 15/16</c:v>
                </c:pt>
                <c:pt idx="9">
                  <c:v>Budget Year +2 16/17</c:v>
                </c:pt>
              </c:strCache>
            </c:strRef>
          </c:cat>
          <c:val>
            <c:numRef>
              <c:f>FinPerform!$B$15:$K$15</c:f>
              <c:numCache>
                <c:formatCode>#\ ###\ ;\(#\ ###\ \)</c:formatCode>
                <c:ptCount val="10"/>
                <c:pt idx="0">
                  <c:v>170000</c:v>
                </c:pt>
                <c:pt idx="1">
                  <c:v>546000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918144"/>
        <c:axId val="291719048"/>
      </c:barChart>
      <c:catAx>
        <c:axId val="3579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719048"/>
        <c:crosses val="autoZero"/>
        <c:auto val="1"/>
        <c:lblAlgn val="ctr"/>
        <c:lblOffset val="100"/>
        <c:tickMarkSkip val="1"/>
        <c:noMultiLvlLbl val="0"/>
      </c:catAx>
      <c:valAx>
        <c:axId val="291719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2800008398950131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9181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Revenue by Source - Major - Chart A5(b) - source trend</a:t>
            </a:r>
          </a:p>
        </c:rich>
      </c:tx>
      <c:layout>
        <c:manualLayout>
          <c:xMode val="edge"/>
          <c:yMode val="edge"/>
          <c:x val="0.27499776120217984"/>
          <c:y val="5.5406685275451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79195561719832"/>
          <c:y val="3.968253968253968E-2"/>
          <c:w val="0.84882108183079052"/>
          <c:h val="0.47089947089947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FinPerform!$B$1</c:f>
              <c:strCache>
                <c:ptCount val="1"/>
                <c:pt idx="0">
                  <c:v>10/11 AUD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FinPerform!$B$16:$B$20</c:f>
              <c:numCache>
                <c:formatCode>#\ ###\ ;\(#\ ###\ \)</c:formatCode>
                <c:ptCount val="5"/>
                <c:pt idx="0">
                  <c:v>34146000</c:v>
                </c:pt>
                <c:pt idx="2">
                  <c:v>9665000</c:v>
                </c:pt>
                <c:pt idx="3">
                  <c:v>53697000</c:v>
                </c:pt>
                <c:pt idx="4">
                  <c:v>10453000</c:v>
                </c:pt>
              </c:numCache>
            </c:numRef>
          </c:val>
        </c:ser>
        <c:ser>
          <c:idx val="1"/>
          <c:order val="1"/>
          <c:tx>
            <c:strRef>
              <c:f>FinPerform!$C$1</c:f>
              <c:strCache>
                <c:ptCount val="1"/>
                <c:pt idx="0">
                  <c:v>11/12 AUD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FinPerform!$C$16:$C$20</c:f>
              <c:numCache>
                <c:formatCode>#\ ###\ ;\(#\ ###\ \)</c:formatCode>
                <c:ptCount val="5"/>
                <c:pt idx="0">
                  <c:v>46576000</c:v>
                </c:pt>
                <c:pt idx="2">
                  <c:v>12039000</c:v>
                </c:pt>
                <c:pt idx="3">
                  <c:v>69669000</c:v>
                </c:pt>
                <c:pt idx="4">
                  <c:v>10946000</c:v>
                </c:pt>
              </c:numCache>
            </c:numRef>
          </c:val>
        </c:ser>
        <c:ser>
          <c:idx val="2"/>
          <c:order val="2"/>
          <c:tx>
            <c:strRef>
              <c:f>FinPerform!$D$1</c:f>
              <c:strCache>
                <c:ptCount val="1"/>
                <c:pt idx="0">
                  <c:v> 12/13 AUD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FinPerform!$D$16:$D$20</c:f>
              <c:numCache>
                <c:formatCode>#\ ###\ ;\(#\ ###\ \)</c:formatCode>
                <c:ptCount val="5"/>
                <c:pt idx="0">
                  <c:v>34516000</c:v>
                </c:pt>
                <c:pt idx="1">
                  <c:v>0</c:v>
                </c:pt>
                <c:pt idx="2">
                  <c:v>14604000</c:v>
                </c:pt>
                <c:pt idx="3">
                  <c:v>93810000</c:v>
                </c:pt>
                <c:pt idx="4">
                  <c:v>9968000</c:v>
                </c:pt>
              </c:numCache>
            </c:numRef>
          </c:val>
        </c:ser>
        <c:ser>
          <c:idx val="3"/>
          <c:order val="3"/>
          <c:tx>
            <c:strRef>
              <c:f>FinPerform!$E$1</c:f>
              <c:strCache>
                <c:ptCount val="1"/>
                <c:pt idx="0">
                  <c:v> 13/14 BUD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FinPerform!$E$16:$E$20</c:f>
              <c:numCache>
                <c:formatCode>#\ ###\ ;\(#\ ###\ \)</c:formatCode>
                <c:ptCount val="5"/>
                <c:pt idx="0">
                  <c:v>37033000</c:v>
                </c:pt>
                <c:pt idx="1">
                  <c:v>0</c:v>
                </c:pt>
                <c:pt idx="2">
                  <c:v>16844000</c:v>
                </c:pt>
                <c:pt idx="3">
                  <c:v>90095000</c:v>
                </c:pt>
                <c:pt idx="4">
                  <c:v>12578000</c:v>
                </c:pt>
              </c:numCache>
            </c:numRef>
          </c:val>
        </c:ser>
        <c:ser>
          <c:idx val="4"/>
          <c:order val="4"/>
          <c:tx>
            <c:strRef>
              <c:f>FinPerform!$F$1</c:f>
              <c:strCache>
                <c:ptCount val="1"/>
                <c:pt idx="0">
                  <c:v>  13/14 ADJ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FinPerform!$F$16:$F$20</c:f>
              <c:numCache>
                <c:formatCode>#\ ###\ ;\(#\ ###\ \)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FinPerform!$G$1</c:f>
              <c:strCache>
                <c:ptCount val="1"/>
                <c:pt idx="0">
                  <c:v> 13/14 FCST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FinPerform!$G$16:$G$20</c:f>
              <c:numCache>
                <c:formatCode>#\ ###\ ;\(#\ ###\ \)</c:formatCode>
                <c:ptCount val="5"/>
                <c:pt idx="0">
                  <c:v>37033000</c:v>
                </c:pt>
                <c:pt idx="1">
                  <c:v>0</c:v>
                </c:pt>
                <c:pt idx="2">
                  <c:v>16844000</c:v>
                </c:pt>
                <c:pt idx="3">
                  <c:v>90095000</c:v>
                </c:pt>
                <c:pt idx="4">
                  <c:v>12578000</c:v>
                </c:pt>
              </c:numCache>
            </c:numRef>
          </c:val>
        </c:ser>
        <c:ser>
          <c:idx val="6"/>
          <c:order val="6"/>
          <c:tx>
            <c:strRef>
              <c:f>FinPerform!$H$1</c:f>
              <c:strCache>
                <c:ptCount val="1"/>
                <c:pt idx="0">
                  <c:v>13/14 ACT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FinPerform!$H$16:$H$20</c:f>
              <c:numCache>
                <c:formatCode>#\ ###\ ;\(#\ ###\ \)</c:formatCode>
                <c:ptCount val="5"/>
                <c:pt idx="0">
                  <c:v>37033000</c:v>
                </c:pt>
                <c:pt idx="2">
                  <c:v>16844000</c:v>
                </c:pt>
                <c:pt idx="3">
                  <c:v>90095000</c:v>
                </c:pt>
                <c:pt idx="4">
                  <c:v>12578000</c:v>
                </c:pt>
              </c:numCache>
            </c:numRef>
          </c:val>
        </c:ser>
        <c:ser>
          <c:idx val="7"/>
          <c:order val="7"/>
          <c:tx>
            <c:strRef>
              <c:f>FinPerform!$I$1</c:f>
              <c:strCache>
                <c:ptCount val="1"/>
                <c:pt idx="0">
                  <c:v>Budget Year 14/15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FinPerform!$I$16:$I$20</c:f>
              <c:numCache>
                <c:formatCode>#\ ###\ ;\(#\ ###\ \)</c:formatCode>
                <c:ptCount val="5"/>
                <c:pt idx="0">
                  <c:v>42767000</c:v>
                </c:pt>
                <c:pt idx="1">
                  <c:v>0</c:v>
                </c:pt>
                <c:pt idx="2">
                  <c:v>18943000</c:v>
                </c:pt>
                <c:pt idx="3">
                  <c:v>85891000</c:v>
                </c:pt>
                <c:pt idx="4">
                  <c:v>11985000</c:v>
                </c:pt>
              </c:numCache>
            </c:numRef>
          </c:val>
        </c:ser>
        <c:ser>
          <c:idx val="8"/>
          <c:order val="8"/>
          <c:tx>
            <c:strRef>
              <c:f>FinPerform!$J$1</c:f>
              <c:strCache>
                <c:ptCount val="1"/>
                <c:pt idx="0">
                  <c:v>Budget Year +1 15/16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FinPerform!$J$16:$J$20</c:f>
              <c:numCache>
                <c:formatCode>#\ ###\ ;\(#\ ###\ \)</c:formatCode>
                <c:ptCount val="5"/>
                <c:pt idx="0">
                  <c:v>50537000</c:v>
                </c:pt>
                <c:pt idx="2">
                  <c:v>19808000</c:v>
                </c:pt>
                <c:pt idx="3">
                  <c:v>91094000</c:v>
                </c:pt>
                <c:pt idx="4">
                  <c:v>12042000</c:v>
                </c:pt>
              </c:numCache>
            </c:numRef>
          </c:val>
        </c:ser>
        <c:ser>
          <c:idx val="9"/>
          <c:order val="9"/>
          <c:tx>
            <c:strRef>
              <c:f>FinPerform!$K$1</c:f>
              <c:strCache>
                <c:ptCount val="1"/>
                <c:pt idx="0">
                  <c:v>Budget Year +2 16/17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FinPerform!$A$16:$A$20</c:f>
              <c:strCache>
                <c:ptCount val="5"/>
                <c:pt idx="0">
                  <c:v>Transfers recognised</c:v>
                </c:pt>
                <c:pt idx="1">
                  <c:v>Service charges - water revenue</c:v>
                </c:pt>
                <c:pt idx="2">
                  <c:v>Transfers recognised - capital</c:v>
                </c:pt>
                <c:pt idx="3">
                  <c:v>Service charges - electricity revenue</c:v>
                </c:pt>
                <c:pt idx="4">
                  <c:v>Property rates</c:v>
                </c:pt>
              </c:strCache>
            </c:strRef>
          </c:cat>
          <c:val>
            <c:numRef>
              <c:f>FinPerform!$K$16:$K$20</c:f>
              <c:numCache>
                <c:formatCode>#\ ###\ ;\(#\ ###\ \)</c:formatCode>
                <c:ptCount val="5"/>
                <c:pt idx="0">
                  <c:v>54181000</c:v>
                </c:pt>
                <c:pt idx="2">
                  <c:v>20522000</c:v>
                </c:pt>
                <c:pt idx="3">
                  <c:v>95649000</c:v>
                </c:pt>
                <c:pt idx="4">
                  <c:v>13867000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720224"/>
        <c:axId val="291720616"/>
      </c:barChart>
      <c:catAx>
        <c:axId val="2917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720616"/>
        <c:crosses val="autoZero"/>
        <c:auto val="1"/>
        <c:lblAlgn val="ctr"/>
        <c:lblOffset val="100"/>
        <c:tickMarkSkip val="1"/>
        <c:noMultiLvlLbl val="0"/>
      </c:catAx>
      <c:valAx>
        <c:axId val="291720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Rm</a:t>
                </a:r>
              </a:p>
            </c:rich>
          </c:tx>
          <c:layout>
            <c:manualLayout>
              <c:xMode val="edge"/>
              <c:yMode val="edge"/>
              <c:x val="2.6352288488210817E-2"/>
              <c:y val="0.277778611006957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;\(#\ ###\ 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720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317</xdr:row>
      <xdr:rowOff>0</xdr:rowOff>
    </xdr:from>
    <xdr:to>
      <xdr:col>6</xdr:col>
      <xdr:colOff>19050</xdr:colOff>
      <xdr:row>317</xdr:row>
      <xdr:rowOff>0</xdr:rowOff>
    </xdr:to>
    <xdr:graphicFrame macro="">
      <xdr:nvGraphicFramePr>
        <xdr:cNvPr id="340398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19050</xdr:colOff>
      <xdr:row>317</xdr:row>
      <xdr:rowOff>0</xdr:rowOff>
    </xdr:to>
    <xdr:graphicFrame macro="">
      <xdr:nvGraphicFramePr>
        <xdr:cNvPr id="340398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9525</xdr:colOff>
      <xdr:row>317</xdr:row>
      <xdr:rowOff>0</xdr:rowOff>
    </xdr:to>
    <xdr:graphicFrame macro="">
      <xdr:nvGraphicFramePr>
        <xdr:cNvPr id="340398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398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398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398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</xdr:colOff>
      <xdr:row>20</xdr:row>
      <xdr:rowOff>142875</xdr:rowOff>
    </xdr:from>
    <xdr:to>
      <xdr:col>11</xdr:col>
      <xdr:colOff>0</xdr:colOff>
      <xdr:row>46</xdr:row>
      <xdr:rowOff>0</xdr:rowOff>
    </xdr:to>
    <xdr:graphicFrame macro="">
      <xdr:nvGraphicFramePr>
        <xdr:cNvPr id="340398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11</xdr:col>
      <xdr:colOff>0</xdr:colOff>
      <xdr:row>72</xdr:row>
      <xdr:rowOff>0</xdr:rowOff>
    </xdr:to>
    <xdr:graphicFrame macro="">
      <xdr:nvGraphicFramePr>
        <xdr:cNvPr id="340399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20</xdr:row>
      <xdr:rowOff>133350</xdr:rowOff>
    </xdr:from>
    <xdr:to>
      <xdr:col>23</xdr:col>
      <xdr:colOff>419100</xdr:colOff>
      <xdr:row>46</xdr:row>
      <xdr:rowOff>0</xdr:rowOff>
    </xdr:to>
    <xdr:graphicFrame macro="">
      <xdr:nvGraphicFramePr>
        <xdr:cNvPr id="34039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85</xdr:row>
      <xdr:rowOff>142875</xdr:rowOff>
    </xdr:from>
    <xdr:to>
      <xdr:col>11</xdr:col>
      <xdr:colOff>0</xdr:colOff>
      <xdr:row>110</xdr:row>
      <xdr:rowOff>133350</xdr:rowOff>
    </xdr:to>
    <xdr:graphicFrame macro="">
      <xdr:nvGraphicFramePr>
        <xdr:cNvPr id="34039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0</xdr:colOff>
      <xdr:row>86</xdr:row>
      <xdr:rowOff>0</xdr:rowOff>
    </xdr:from>
    <xdr:to>
      <xdr:col>23</xdr:col>
      <xdr:colOff>428625</xdr:colOff>
      <xdr:row>111</xdr:row>
      <xdr:rowOff>0</xdr:rowOff>
    </xdr:to>
    <xdr:graphicFrame macro="">
      <xdr:nvGraphicFramePr>
        <xdr:cNvPr id="3403993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112</xdr:row>
      <xdr:rowOff>0</xdr:rowOff>
    </xdr:from>
    <xdr:to>
      <xdr:col>11</xdr:col>
      <xdr:colOff>0</xdr:colOff>
      <xdr:row>136</xdr:row>
      <xdr:rowOff>133350</xdr:rowOff>
    </xdr:to>
    <xdr:graphicFrame macro="">
      <xdr:nvGraphicFramePr>
        <xdr:cNvPr id="340399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10</xdr:col>
      <xdr:colOff>438150</xdr:colOff>
      <xdr:row>170</xdr:row>
      <xdr:rowOff>133350</xdr:rowOff>
    </xdr:to>
    <xdr:graphicFrame macro="">
      <xdr:nvGraphicFramePr>
        <xdr:cNvPr id="3403995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180</xdr:row>
      <xdr:rowOff>0</xdr:rowOff>
    </xdr:from>
    <xdr:to>
      <xdr:col>11</xdr:col>
      <xdr:colOff>0</xdr:colOff>
      <xdr:row>204</xdr:row>
      <xdr:rowOff>133350</xdr:rowOff>
    </xdr:to>
    <xdr:graphicFrame macro="">
      <xdr:nvGraphicFramePr>
        <xdr:cNvPr id="340399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0</xdr:colOff>
      <xdr:row>180</xdr:row>
      <xdr:rowOff>0</xdr:rowOff>
    </xdr:from>
    <xdr:to>
      <xdr:col>23</xdr:col>
      <xdr:colOff>428625</xdr:colOff>
      <xdr:row>205</xdr:row>
      <xdr:rowOff>0</xdr:rowOff>
    </xdr:to>
    <xdr:graphicFrame macro="">
      <xdr:nvGraphicFramePr>
        <xdr:cNvPr id="3403997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222</xdr:row>
      <xdr:rowOff>0</xdr:rowOff>
    </xdr:from>
    <xdr:to>
      <xdr:col>11</xdr:col>
      <xdr:colOff>0</xdr:colOff>
      <xdr:row>261</xdr:row>
      <xdr:rowOff>0</xdr:rowOff>
    </xdr:to>
    <xdr:graphicFrame macro="">
      <xdr:nvGraphicFramePr>
        <xdr:cNvPr id="340399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277</xdr:row>
      <xdr:rowOff>0</xdr:rowOff>
    </xdr:from>
    <xdr:to>
      <xdr:col>11</xdr:col>
      <xdr:colOff>0</xdr:colOff>
      <xdr:row>316</xdr:row>
      <xdr:rowOff>133350</xdr:rowOff>
    </xdr:to>
    <xdr:graphicFrame macro="">
      <xdr:nvGraphicFramePr>
        <xdr:cNvPr id="340399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19050</xdr:colOff>
      <xdr:row>317</xdr:row>
      <xdr:rowOff>0</xdr:rowOff>
    </xdr:to>
    <xdr:graphicFrame macro="">
      <xdr:nvGraphicFramePr>
        <xdr:cNvPr id="340400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19050</xdr:colOff>
      <xdr:row>317</xdr:row>
      <xdr:rowOff>0</xdr:rowOff>
    </xdr:to>
    <xdr:graphicFrame macro="">
      <xdr:nvGraphicFramePr>
        <xdr:cNvPr id="34040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19050</xdr:colOff>
      <xdr:row>317</xdr:row>
      <xdr:rowOff>0</xdr:rowOff>
    </xdr:from>
    <xdr:to>
      <xdr:col>6</xdr:col>
      <xdr:colOff>9525</xdr:colOff>
      <xdr:row>317</xdr:row>
      <xdr:rowOff>0</xdr:rowOff>
    </xdr:to>
    <xdr:graphicFrame macro="">
      <xdr:nvGraphicFramePr>
        <xdr:cNvPr id="340400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400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400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9525</xdr:colOff>
      <xdr:row>317</xdr:row>
      <xdr:rowOff>0</xdr:rowOff>
    </xdr:from>
    <xdr:to>
      <xdr:col>6</xdr:col>
      <xdr:colOff>0</xdr:colOff>
      <xdr:row>317</xdr:row>
      <xdr:rowOff>0</xdr:rowOff>
    </xdr:to>
    <xdr:graphicFrame macro="">
      <xdr:nvGraphicFramePr>
        <xdr:cNvPr id="340400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9525</xdr:colOff>
      <xdr:row>20</xdr:row>
      <xdr:rowOff>142875</xdr:rowOff>
    </xdr:from>
    <xdr:to>
      <xdr:col>11</xdr:col>
      <xdr:colOff>0</xdr:colOff>
      <xdr:row>46</xdr:row>
      <xdr:rowOff>0</xdr:rowOff>
    </xdr:to>
    <xdr:graphicFrame macro="">
      <xdr:nvGraphicFramePr>
        <xdr:cNvPr id="340400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11</xdr:col>
      <xdr:colOff>0</xdr:colOff>
      <xdr:row>72</xdr:row>
      <xdr:rowOff>0</xdr:rowOff>
    </xdr:to>
    <xdr:graphicFrame macro="">
      <xdr:nvGraphicFramePr>
        <xdr:cNvPr id="340400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0</xdr:colOff>
      <xdr:row>20</xdr:row>
      <xdr:rowOff>133350</xdr:rowOff>
    </xdr:from>
    <xdr:to>
      <xdr:col>23</xdr:col>
      <xdr:colOff>419100</xdr:colOff>
      <xdr:row>46</xdr:row>
      <xdr:rowOff>0</xdr:rowOff>
    </xdr:to>
    <xdr:graphicFrame macro="">
      <xdr:nvGraphicFramePr>
        <xdr:cNvPr id="3404008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85</xdr:row>
      <xdr:rowOff>142875</xdr:rowOff>
    </xdr:from>
    <xdr:to>
      <xdr:col>11</xdr:col>
      <xdr:colOff>0</xdr:colOff>
      <xdr:row>110</xdr:row>
      <xdr:rowOff>133350</xdr:rowOff>
    </xdr:to>
    <xdr:graphicFrame macro="">
      <xdr:nvGraphicFramePr>
        <xdr:cNvPr id="3404009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0</xdr:colOff>
      <xdr:row>86</xdr:row>
      <xdr:rowOff>0</xdr:rowOff>
    </xdr:from>
    <xdr:to>
      <xdr:col>23</xdr:col>
      <xdr:colOff>428625</xdr:colOff>
      <xdr:row>111</xdr:row>
      <xdr:rowOff>0</xdr:rowOff>
    </xdr:to>
    <xdr:graphicFrame macro="">
      <xdr:nvGraphicFramePr>
        <xdr:cNvPr id="34040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112</xdr:row>
      <xdr:rowOff>0</xdr:rowOff>
    </xdr:from>
    <xdr:to>
      <xdr:col>11</xdr:col>
      <xdr:colOff>0</xdr:colOff>
      <xdr:row>136</xdr:row>
      <xdr:rowOff>133350</xdr:rowOff>
    </xdr:to>
    <xdr:graphicFrame macro="">
      <xdr:nvGraphicFramePr>
        <xdr:cNvPr id="340401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10</xdr:col>
      <xdr:colOff>438150</xdr:colOff>
      <xdr:row>170</xdr:row>
      <xdr:rowOff>133350</xdr:rowOff>
    </xdr:to>
    <xdr:graphicFrame macro="">
      <xdr:nvGraphicFramePr>
        <xdr:cNvPr id="3404012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180</xdr:row>
      <xdr:rowOff>0</xdr:rowOff>
    </xdr:from>
    <xdr:to>
      <xdr:col>11</xdr:col>
      <xdr:colOff>0</xdr:colOff>
      <xdr:row>204</xdr:row>
      <xdr:rowOff>133350</xdr:rowOff>
    </xdr:to>
    <xdr:graphicFrame macro="">
      <xdr:nvGraphicFramePr>
        <xdr:cNvPr id="3404013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0</xdr:colOff>
      <xdr:row>180</xdr:row>
      <xdr:rowOff>0</xdr:rowOff>
    </xdr:from>
    <xdr:to>
      <xdr:col>23</xdr:col>
      <xdr:colOff>428625</xdr:colOff>
      <xdr:row>205</xdr:row>
      <xdr:rowOff>0</xdr:rowOff>
    </xdr:to>
    <xdr:graphicFrame macro="">
      <xdr:nvGraphicFramePr>
        <xdr:cNvPr id="340401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222</xdr:row>
      <xdr:rowOff>0</xdr:rowOff>
    </xdr:from>
    <xdr:to>
      <xdr:col>11</xdr:col>
      <xdr:colOff>0</xdr:colOff>
      <xdr:row>261</xdr:row>
      <xdr:rowOff>0</xdr:rowOff>
    </xdr:to>
    <xdr:graphicFrame macro="">
      <xdr:nvGraphicFramePr>
        <xdr:cNvPr id="3404015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277</xdr:row>
      <xdr:rowOff>0</xdr:rowOff>
    </xdr:from>
    <xdr:to>
      <xdr:col>11</xdr:col>
      <xdr:colOff>0</xdr:colOff>
      <xdr:row>316</xdr:row>
      <xdr:rowOff>133350</xdr:rowOff>
    </xdr:to>
    <xdr:graphicFrame macro="">
      <xdr:nvGraphicFramePr>
        <xdr:cNvPr id="3404016" name="Chart 5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10</xdr:col>
      <xdr:colOff>438150</xdr:colOff>
      <xdr:row>56</xdr:row>
      <xdr:rowOff>0</xdr:rowOff>
    </xdr:to>
    <xdr:graphicFrame macro="">
      <xdr:nvGraphicFramePr>
        <xdr:cNvPr id="97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10</xdr:col>
      <xdr:colOff>438150</xdr:colOff>
      <xdr:row>92</xdr:row>
      <xdr:rowOff>9525</xdr:rowOff>
    </xdr:to>
    <xdr:graphicFrame macro="">
      <xdr:nvGraphicFramePr>
        <xdr:cNvPr id="979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11</xdr:col>
      <xdr:colOff>0</xdr:colOff>
      <xdr:row>119</xdr:row>
      <xdr:rowOff>28575</xdr:rowOff>
    </xdr:to>
    <xdr:graphicFrame macro="">
      <xdr:nvGraphicFramePr>
        <xdr:cNvPr id="980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11</xdr:col>
      <xdr:colOff>0</xdr:colOff>
      <xdr:row>146</xdr:row>
      <xdr:rowOff>28575</xdr:rowOff>
    </xdr:to>
    <xdr:graphicFrame macro="">
      <xdr:nvGraphicFramePr>
        <xdr:cNvPr id="980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147</xdr:row>
      <xdr:rowOff>0</xdr:rowOff>
    </xdr:from>
    <xdr:to>
      <xdr:col>11</xdr:col>
      <xdr:colOff>0</xdr:colOff>
      <xdr:row>177</xdr:row>
      <xdr:rowOff>133350</xdr:rowOff>
    </xdr:to>
    <xdr:graphicFrame macro="">
      <xdr:nvGraphicFramePr>
        <xdr:cNvPr id="980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179</xdr:row>
      <xdr:rowOff>0</xdr:rowOff>
    </xdr:from>
    <xdr:to>
      <xdr:col>11</xdr:col>
      <xdr:colOff>0</xdr:colOff>
      <xdr:row>210</xdr:row>
      <xdr:rowOff>0</xdr:rowOff>
    </xdr:to>
    <xdr:graphicFrame macro="">
      <xdr:nvGraphicFramePr>
        <xdr:cNvPr id="980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217</xdr:row>
      <xdr:rowOff>0</xdr:rowOff>
    </xdr:from>
    <xdr:to>
      <xdr:col>11</xdr:col>
      <xdr:colOff>0</xdr:colOff>
      <xdr:row>243</xdr:row>
      <xdr:rowOff>19050</xdr:rowOff>
    </xdr:to>
    <xdr:graphicFrame macro="">
      <xdr:nvGraphicFramePr>
        <xdr:cNvPr id="980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11</xdr:col>
      <xdr:colOff>0</xdr:colOff>
      <xdr:row>37</xdr:row>
      <xdr:rowOff>0</xdr:rowOff>
    </xdr:to>
    <xdr:graphicFrame macro="">
      <xdr:nvGraphicFramePr>
        <xdr:cNvPr id="104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11</xdr:col>
      <xdr:colOff>9525</xdr:colOff>
      <xdr:row>112</xdr:row>
      <xdr:rowOff>9525</xdr:rowOff>
    </xdr:to>
    <xdr:graphicFrame macro="">
      <xdr:nvGraphicFramePr>
        <xdr:cNvPr id="104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10</xdr:col>
      <xdr:colOff>438150</xdr:colOff>
      <xdr:row>74</xdr:row>
      <xdr:rowOff>9525</xdr:rowOff>
    </xdr:to>
    <xdr:graphicFrame macro="">
      <xdr:nvGraphicFramePr>
        <xdr:cNvPr id="104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10</xdr:col>
      <xdr:colOff>428625</xdr:colOff>
      <xdr:row>29</xdr:row>
      <xdr:rowOff>0</xdr:rowOff>
    </xdr:to>
    <xdr:graphicFrame macro="">
      <xdr:nvGraphicFramePr>
        <xdr:cNvPr id="1184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10</xdr:col>
      <xdr:colOff>438150</xdr:colOff>
      <xdr:row>67</xdr:row>
      <xdr:rowOff>133350</xdr:rowOff>
    </xdr:to>
    <xdr:graphicFrame macro="">
      <xdr:nvGraphicFramePr>
        <xdr:cNvPr id="1184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10</xdr:col>
      <xdr:colOff>438150</xdr:colOff>
      <xdr:row>98</xdr:row>
      <xdr:rowOff>0</xdr:rowOff>
    </xdr:to>
    <xdr:graphicFrame macro="">
      <xdr:nvGraphicFramePr>
        <xdr:cNvPr id="1184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10</xdr:col>
      <xdr:colOff>428625</xdr:colOff>
      <xdr:row>123</xdr:row>
      <xdr:rowOff>9525</xdr:rowOff>
    </xdr:to>
    <xdr:graphicFrame macro="">
      <xdr:nvGraphicFramePr>
        <xdr:cNvPr id="1184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127</xdr:row>
      <xdr:rowOff>0</xdr:rowOff>
    </xdr:from>
    <xdr:to>
      <xdr:col>11</xdr:col>
      <xdr:colOff>0</xdr:colOff>
      <xdr:row>152</xdr:row>
      <xdr:rowOff>0</xdr:rowOff>
    </xdr:to>
    <xdr:graphicFrame macro="">
      <xdr:nvGraphicFramePr>
        <xdr:cNvPr id="1184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11</xdr:col>
      <xdr:colOff>9525</xdr:colOff>
      <xdr:row>179</xdr:row>
      <xdr:rowOff>9525</xdr:rowOff>
    </xdr:to>
    <xdr:graphicFrame macro="">
      <xdr:nvGraphicFramePr>
        <xdr:cNvPr id="1184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185</xdr:row>
      <xdr:rowOff>0</xdr:rowOff>
    </xdr:from>
    <xdr:to>
      <xdr:col>11</xdr:col>
      <xdr:colOff>19050</xdr:colOff>
      <xdr:row>210</xdr:row>
      <xdr:rowOff>19050</xdr:rowOff>
    </xdr:to>
    <xdr:graphicFrame macro="">
      <xdr:nvGraphicFramePr>
        <xdr:cNvPr id="1184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gov.za/B03/CD%20-%20LGBA/Municipalities/20.%20Budget%20Regulations/A3%20November%202007/1%20%20eThekwini%20with%20FC%20and%200607%20actuals%20as%20EXAMPLE%20N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icoryf007\private\Financial%20Manager\NigelG\2%20MFMTAP\LTFS\2004_2005%20development\Budgeted%20financial%20statements%20Cash%20flow%20&amp;%20Balance%20Sheet%20Final%207%20Ma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gov.za/Documents%20and%20Settings/1777/My%20Documents/C%20Tshwane/EM%2010day%20report%20Dec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gov.za/Documents%20and%20Settings/1777/My%20Documents/Budget%20regulations/Regulations/Tshwane/Budget%20Regulations%20Tshwane%20Draft%20NT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items"/>
      <sheetName val="Votes and Sub votes"/>
      <sheetName val="Charts"/>
      <sheetName val="Charts Values"/>
      <sheetName val="NERF"/>
      <sheetName val="Metro"/>
      <sheetName val="A1"/>
      <sheetName val="Sch 2 alt"/>
      <sheetName val="A2"/>
      <sheetName val="A3"/>
      <sheetName val="A4"/>
      <sheetName val="A5"/>
      <sheetName val="A6"/>
      <sheetName val="A7"/>
      <sheetName val="A8"/>
      <sheetName val="A9"/>
      <sheetName val="A10"/>
      <sheetName val="MSCOA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 and 13"/>
      <sheetName val="Tab14"/>
      <sheetName val="Tab15"/>
      <sheetName val="Tab16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 36"/>
      <sheetName val="Tab37"/>
      <sheetName val="s71B1"/>
      <sheetName val="s71B2"/>
      <sheetName val="s71B3"/>
      <sheetName val="s71B4"/>
      <sheetName val="s71B5"/>
      <sheetName val="s71B6"/>
      <sheetName val="s71B7"/>
      <sheetName val="s71TabB1"/>
      <sheetName val="s71TabB2"/>
      <sheetName val="s71TabB3"/>
      <sheetName val="s71TabB4"/>
      <sheetName val="s71TabB5"/>
      <sheetName val="s71TabB6"/>
      <sheetName val="s71TabB7"/>
      <sheetName val="s71TabB8"/>
      <sheetName val="s71TabB9"/>
      <sheetName val="s71TabB10"/>
      <sheetName val="s71TabB11"/>
      <sheetName val="s71TabB12"/>
      <sheetName val="s71TabB13"/>
      <sheetName val="s71TabB14"/>
      <sheetName val="Names"/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TabC1"/>
      <sheetName val="TabC2"/>
      <sheetName val="TabC3"/>
      <sheetName val="TabC4"/>
      <sheetName val="TabC5"/>
      <sheetName val="TabC6"/>
      <sheetName val="TabC7"/>
      <sheetName val="TabC8"/>
      <sheetName val="TabC9"/>
      <sheetName val="TabC10"/>
      <sheetName val="TabC11"/>
      <sheetName val="TabC12"/>
      <sheetName val="TabC13"/>
      <sheetName val="TabC14"/>
      <sheetName val="TabC15"/>
      <sheetName val="TabC16"/>
      <sheetName val="TabC17"/>
      <sheetName val="TabC18"/>
      <sheetName val="CAA actual data"/>
      <sheetName val="S71charts"/>
      <sheetName val="EsSchD1"/>
      <sheetName val="MEB1"/>
      <sheetName val="All ME SFPos"/>
      <sheetName val="ME Total SPerf"/>
      <sheetName val="ESchD2"/>
      <sheetName val="ESchD4"/>
      <sheetName val="Entity2 SFP"/>
      <sheetName val="Entity3 SFP"/>
      <sheetName val="ESchD5"/>
      <sheetName val="ESchD6"/>
      <sheetName val="ESch D7"/>
      <sheetName val="ESchD7"/>
      <sheetName val="ETabD1"/>
      <sheetName val="ETabD2"/>
      <sheetName val="ETabD3"/>
      <sheetName val="ETabD4"/>
      <sheetName val="ETabD5"/>
      <sheetName val="ETabD6"/>
      <sheetName val="ETabD7"/>
      <sheetName val="ETabD8"/>
      <sheetName val="ETabD9"/>
      <sheetName val="ETabD10"/>
      <sheetName val="ESchE1"/>
      <sheetName val="ESchE2"/>
      <sheetName val="ESchE5"/>
      <sheetName val="ESchE6"/>
      <sheetName val="ESchE7"/>
      <sheetName val="ETabE1"/>
      <sheetName val="ETabE2"/>
      <sheetName val="ETabE3"/>
      <sheetName val="ETabE4"/>
      <sheetName val="ETabE5"/>
      <sheetName val="ETabE6"/>
      <sheetName val="ETabE7"/>
      <sheetName val="ETabE8"/>
      <sheetName val="ETabE9"/>
      <sheetName val="ESchF1"/>
      <sheetName val="ESchF4"/>
      <sheetName val="ESchF5"/>
      <sheetName val="ESchF6"/>
      <sheetName val="ESchF7"/>
      <sheetName val="ETabF1"/>
      <sheetName val="ETabF2"/>
      <sheetName val="ETabF3"/>
      <sheetName val="ETabF4"/>
      <sheetName val="ETabF5"/>
      <sheetName val="ETabF6"/>
      <sheetName val="ETabF7"/>
      <sheetName val="ETab F8"/>
      <sheetName val="SDBIP1"/>
      <sheetName val="SDBIP2"/>
      <sheetName val="SDBIP 3"/>
      <sheetName val="SDBIP3"/>
      <sheetName val="SDBIP8"/>
      <sheetName val="Dept 2"/>
      <sheetName val="Dept 3"/>
      <sheetName val="Dept 4"/>
      <sheetName val="Dept 5"/>
      <sheetName val="Dept 6"/>
      <sheetName val="Dept 7"/>
      <sheetName val="Dept 8"/>
      <sheetName val="Dept 9"/>
      <sheetName val="Dept 10"/>
      <sheetName val="Dept 11"/>
      <sheetName val="Dept 12"/>
      <sheetName val="Dept 13"/>
      <sheetName val="Dept 14"/>
      <sheetName val="Economic assumptions"/>
      <sheetName val="Net asset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5">
          <cell r="N15">
            <v>0.78288018526021663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2">
          <cell r="B2" t="str">
            <v>2005/06</v>
          </cell>
        </row>
        <row r="3">
          <cell r="B3" t="str">
            <v>2004/05</v>
          </cell>
        </row>
        <row r="4">
          <cell r="B4" t="str">
            <v>2003/04</v>
          </cell>
        </row>
        <row r="5">
          <cell r="B5" t="str">
            <v>Current Year 2006/07</v>
          </cell>
        </row>
        <row r="6">
          <cell r="B6" t="str">
            <v>2006/07</v>
          </cell>
        </row>
        <row r="7">
          <cell r="B7" t="str">
            <v>2007/08 Medium Term Revenue and Expenditure Framework</v>
          </cell>
        </row>
        <row r="8">
          <cell r="B8" t="str">
            <v>LTFS</v>
          </cell>
        </row>
        <row r="9">
          <cell r="B9" t="str">
            <v>Audited Outcome</v>
          </cell>
        </row>
        <row r="10">
          <cell r="B10" t="str">
            <v>Outcome</v>
          </cell>
        </row>
        <row r="11">
          <cell r="B11" t="str">
            <v>Pre-audit outcome</v>
          </cell>
        </row>
        <row r="12">
          <cell r="B12" t="str">
            <v>Original Budget</v>
          </cell>
        </row>
        <row r="13">
          <cell r="B13" t="str">
            <v>Adjusted Budget</v>
          </cell>
        </row>
        <row r="14">
          <cell r="B14" t="str">
            <v>Full Year Forecast</v>
          </cell>
        </row>
        <row r="15">
          <cell r="B15" t="str">
            <v>Budget Year 2007/08</v>
          </cell>
        </row>
        <row r="16">
          <cell r="B16" t="str">
            <v>Budget Year +1 2008/09</v>
          </cell>
        </row>
        <row r="17">
          <cell r="B17" t="str">
            <v>Budget Year +2 2009/10</v>
          </cell>
        </row>
        <row r="18">
          <cell r="B18" t="str">
            <v>Forecast 2010/11</v>
          </cell>
        </row>
        <row r="19">
          <cell r="B19" t="str">
            <v>Forecast 2011/12</v>
          </cell>
        </row>
        <row r="20">
          <cell r="B20" t="str">
            <v>Forecast 2012/13</v>
          </cell>
        </row>
        <row r="21">
          <cell r="B21" t="str">
            <v>Forecast 2013/14</v>
          </cell>
        </row>
        <row r="22">
          <cell r="B22" t="str">
            <v>Forecast 2014/15</v>
          </cell>
        </row>
        <row r="23">
          <cell r="B23" t="str">
            <v>Forecast 2015/16</v>
          </cell>
        </row>
        <row r="24">
          <cell r="B24" t="str">
            <v>Forecast 2016/17</v>
          </cell>
        </row>
        <row r="25">
          <cell r="B25" t="str">
            <v>Forecast 2017/18</v>
          </cell>
        </row>
        <row r="26">
          <cell r="B26" t="str">
            <v>Forecast 2018/19</v>
          </cell>
        </row>
        <row r="27">
          <cell r="B27" t="str">
            <v>Forecast 2019/20</v>
          </cell>
        </row>
        <row r="28">
          <cell r="B28" t="str">
            <v>Forecast 2020/21</v>
          </cell>
        </row>
        <row r="29">
          <cell r="B29" t="str">
            <v>Forecast 2021/22</v>
          </cell>
        </row>
        <row r="30">
          <cell r="B30" t="str">
            <v>Description</v>
          </cell>
        </row>
        <row r="31">
          <cell r="B31" t="str">
            <v>Schedule of funding diligence</v>
          </cell>
        </row>
        <row r="32">
          <cell r="B32" t="str">
            <v>Vote Description</v>
          </cell>
        </row>
        <row r="33">
          <cell r="B33" t="str">
            <v>Ref</v>
          </cell>
        </row>
        <row r="34">
          <cell r="B34" t="str">
            <v>References</v>
          </cell>
        </row>
        <row r="35">
          <cell r="B35" t="str">
            <v>Surplus/ (Deficit) for the year</v>
          </cell>
        </row>
        <row r="36">
          <cell r="B36" t="str">
            <v>Annual target 2007/08</v>
          </cell>
        </row>
        <row r="37">
          <cell r="B37" t="str">
            <v>Revised target 2007/08</v>
          </cell>
        </row>
        <row r="38">
          <cell r="B38" t="str">
            <v>Quarter ended 30 September</v>
          </cell>
        </row>
        <row r="39">
          <cell r="B39" t="str">
            <v>Quarter ended 31 December</v>
          </cell>
        </row>
        <row r="40">
          <cell r="B40" t="str">
            <v>Quarter ended 31 March</v>
          </cell>
        </row>
        <row r="41">
          <cell r="B41" t="str">
            <v>Quarter ended 30 June</v>
          </cell>
        </row>
        <row r="42">
          <cell r="B42" t="str">
            <v>Variance explanation</v>
          </cell>
        </row>
        <row r="43">
          <cell r="B43" t="str">
            <v>YTD  Actual 31 Dec</v>
          </cell>
        </row>
        <row r="44">
          <cell r="B44" t="str">
            <v>YTD  Budget 31 Dec</v>
          </cell>
        </row>
        <row r="45">
          <cell r="B45" t="str">
            <v>Monthly actual</v>
          </cell>
        </row>
        <row r="46">
          <cell r="B46" t="str">
            <v>YTD   actual</v>
          </cell>
        </row>
        <row r="47">
          <cell r="B47" t="str">
            <v>YTD budget</v>
          </cell>
        </row>
        <row r="48">
          <cell r="B48" t="str">
            <v>YTD variance</v>
          </cell>
        </row>
        <row r="49">
          <cell r="B49" t="str">
            <v>Surplus/ (Deficit) for the yr/period</v>
          </cell>
        </row>
        <row r="50">
          <cell r="B50" t="str">
            <v>2007/08 Medium Term Revenue and Expenditure Framework Summary</v>
          </cell>
        </row>
        <row r="51">
          <cell r="B51" t="str">
            <v>1996 Census</v>
          </cell>
        </row>
        <row r="52">
          <cell r="B52" t="str">
            <v>2001 Census</v>
          </cell>
        </row>
        <row r="53">
          <cell r="B53" t="str">
            <v xml:space="preserve"> - Adjustments Budget - January 2007</v>
          </cell>
        </row>
        <row r="54">
          <cell r="B54" t="str">
            <v>Previous target year to complete</v>
          </cell>
        </row>
        <row r="55">
          <cell r="B55" t="str">
            <v>Present value</v>
          </cell>
        </row>
        <row r="56">
          <cell r="B56" t="str">
            <v>Virement</v>
          </cell>
        </row>
        <row r="57">
          <cell r="B57" t="str">
            <v>Other Adjusts.</v>
          </cell>
        </row>
        <row r="58">
          <cell r="B58" t="str">
            <v>Accum. Funds</v>
          </cell>
        </row>
        <row r="59">
          <cell r="B59" t="str">
            <v>Multi-year capital</v>
          </cell>
        </row>
        <row r="60">
          <cell r="B60" t="str">
            <v>Unfore. Unavoid.</v>
          </cell>
        </row>
        <row r="61">
          <cell r="B61" t="str">
            <v>Prior Adjusted</v>
          </cell>
        </row>
        <row r="62">
          <cell r="B62" t="str">
            <v>Nat. or Prov. Govt</v>
          </cell>
        </row>
        <row r="63">
          <cell r="B63" t="str">
            <v>Total Adjusts.</v>
          </cell>
        </row>
        <row r="64">
          <cell r="B64" t="str">
            <v>Budgeted Financial Performance</v>
          </cell>
        </row>
        <row r="65">
          <cell r="B65" t="str">
            <v>Forecast Financial Performance</v>
          </cell>
        </row>
        <row r="66">
          <cell r="B66" t="str">
            <v>Budgeted Financial Position</v>
          </cell>
        </row>
        <row r="67">
          <cell r="B67" t="str">
            <v>Forecast Financial Position</v>
          </cell>
        </row>
        <row r="68">
          <cell r="B68" t="str">
            <v>Budget Cash Flow</v>
          </cell>
        </row>
        <row r="69">
          <cell r="B69" t="str">
            <v>Forecast Cash Flow</v>
          </cell>
        </row>
        <row r="70">
          <cell r="B70" t="str">
            <v>Expenditure includes repairs &amp; maintenance of R'000</v>
          </cell>
        </row>
        <row r="71">
          <cell r="B71" t="str">
            <v xml:space="preserve">Department 1 - </v>
          </cell>
        </row>
        <row r="72">
          <cell r="B72" t="str">
            <v xml:space="preserve">Department 2 - </v>
          </cell>
        </row>
        <row r="73">
          <cell r="B73" t="str">
            <v xml:space="preserve">Department 3 - </v>
          </cell>
        </row>
        <row r="74">
          <cell r="B74" t="str">
            <v xml:space="preserve">Department 4 - </v>
          </cell>
        </row>
        <row r="75">
          <cell r="B75" t="str">
            <v xml:space="preserve">Department 5 - </v>
          </cell>
        </row>
        <row r="76">
          <cell r="B76" t="str">
            <v xml:space="preserve">Department 6 - </v>
          </cell>
        </row>
        <row r="77">
          <cell r="B77" t="str">
            <v xml:space="preserve">Department 7 - </v>
          </cell>
        </row>
        <row r="78">
          <cell r="B78" t="str">
            <v xml:space="preserve">Department 8 - </v>
          </cell>
        </row>
        <row r="79">
          <cell r="B79" t="str">
            <v xml:space="preserve">Department 9 - </v>
          </cell>
        </row>
        <row r="80">
          <cell r="B80" t="str">
            <v xml:space="preserve">Department 10 - </v>
          </cell>
        </row>
        <row r="81">
          <cell r="B81" t="str">
            <v xml:space="preserve">Department 11 - </v>
          </cell>
        </row>
        <row r="82">
          <cell r="B82" t="str">
            <v xml:space="preserve">Department 12 - </v>
          </cell>
        </row>
        <row r="83">
          <cell r="B83" t="str">
            <v xml:space="preserve">Department 13 - </v>
          </cell>
        </row>
        <row r="84">
          <cell r="B84" t="str">
            <v xml:space="preserve">Department 14 - </v>
          </cell>
        </row>
        <row r="88">
          <cell r="B88" t="str">
            <v>ACT</v>
          </cell>
        </row>
        <row r="89">
          <cell r="B89" t="str">
            <v>APP</v>
          </cell>
        </row>
        <row r="90">
          <cell r="B90" t="str">
            <v>ADJ</v>
          </cell>
        </row>
        <row r="93">
          <cell r="B93" t="str">
            <v xml:space="preserve">EXAMPLE Metropolitan Municipality - </v>
          </cell>
        </row>
        <row r="94">
          <cell r="B94" t="str">
            <v xml:space="preserve">EXAMPLE Metro - </v>
          </cell>
        </row>
        <row r="95">
          <cell r="A95" t="str">
            <v>Yes</v>
          </cell>
        </row>
        <row r="96">
          <cell r="B96" t="str">
            <v xml:space="preserve">(Pty) Ltd Example 1 - Municipal entity - </v>
          </cell>
        </row>
        <row r="97">
          <cell r="B97" t="str">
            <v xml:space="preserve">(Pty) Ltd Example 2 - Municipal entity - </v>
          </cell>
        </row>
        <row r="98">
          <cell r="B98" t="str">
            <v>Municipal Entity Example 3</v>
          </cell>
        </row>
        <row r="100">
          <cell r="B100" t="str">
            <v>Summation</v>
          </cell>
        </row>
        <row r="101">
          <cell r="B101" t="str">
            <v>Consolidated Budgeted Financial Performance (Revenue &amp; Expenditure by Standard Classification)</v>
          </cell>
        </row>
        <row r="102">
          <cell r="B102" t="str">
            <v>Consolidated Budgeted Financial Performance (Revenue &amp; Expenditure)</v>
          </cell>
        </row>
        <row r="103">
          <cell r="B103" t="str">
            <v>Consolidated Budgeted Financial Performance (Revenue &amp; Expenditure by Municipal Vote)</v>
          </cell>
        </row>
        <row r="104">
          <cell r="B104" t="str">
            <v>Consolidated Budgeted Capital Expenditure by Vote, Standard classification &amp; Funding</v>
          </cell>
        </row>
        <row r="105">
          <cell r="B105" t="str">
            <v>Consolidated Budgeted Financial Position</v>
          </cell>
        </row>
        <row r="106">
          <cell r="B106" t="str">
            <v>Consolidated Budgeted Cash Flows</v>
          </cell>
        </row>
        <row r="107">
          <cell r="B107" t="str">
            <v>Consolidated Cash backed reserves/accumulated surplus reconciliation</v>
          </cell>
        </row>
        <row r="109">
          <cell r="B109" t="str">
            <v>Consolidated Asset Management</v>
          </cell>
        </row>
        <row r="110">
          <cell r="B110" t="str">
            <v>Consolidated Service (basic) delivery measurement</v>
          </cell>
        </row>
        <row r="112">
          <cell r="B112" t="str">
            <v>Supporting detail to 'Budgeted Financial Performance' - Table A1</v>
          </cell>
        </row>
        <row r="113">
          <cell r="B113" t="str">
            <v>Consolidated Matrix Financial Performance Budget (revenue source/expenditure type &amp; dept.) - Table A2</v>
          </cell>
        </row>
        <row r="114">
          <cell r="B114" t="str">
            <v>Supporting detail to 'Budgeted Financial Position' - Table A3</v>
          </cell>
        </row>
        <row r="115">
          <cell r="B115" t="str">
            <v>Reconciliation of IDP strategic objectives and budget (revenue) - Table A4</v>
          </cell>
        </row>
        <row r="116">
          <cell r="B116" t="str">
            <v>Reconciliation of IDP strategic objectives and budget (expenditure) - Table A5</v>
          </cell>
        </row>
        <row r="117">
          <cell r="B117" t="str">
            <v>Reconciliation of IDP strategic objectives and budget (capital expenditure) - Table A6</v>
          </cell>
        </row>
        <row r="118">
          <cell r="B118" t="str">
            <v>Measureable performance objectives - Table A7</v>
          </cell>
        </row>
        <row r="119">
          <cell r="B119" t="str">
            <v>Performance indicators and benchmarks - Table A8</v>
          </cell>
        </row>
        <row r="120">
          <cell r="B120" t="str">
            <v>Social, Economic &amp; Demographic statistics and assumptions - Table A9</v>
          </cell>
        </row>
        <row r="121">
          <cell r="B121" t="str">
            <v>Funding measurement - Table A10</v>
          </cell>
        </row>
        <row r="122">
          <cell r="B122" t="str">
            <v>Property rates summary - Table A11</v>
          </cell>
        </row>
        <row r="123">
          <cell r="B123" t="str">
            <v>Property rates by category (current year) - Table A12</v>
          </cell>
        </row>
        <row r="124">
          <cell r="B124" t="str">
            <v>Property rates by category (budget year) - Table A13</v>
          </cell>
        </row>
        <row r="125">
          <cell r="B125" t="str">
            <v>Household bills - Table A14</v>
          </cell>
        </row>
        <row r="126">
          <cell r="B126" t="str">
            <v>Investment particulars by type - Table A15</v>
          </cell>
        </row>
        <row r="127">
          <cell r="B127" t="str">
            <v>Investment particulars by maturity - Table A16</v>
          </cell>
        </row>
        <row r="128">
          <cell r="B128" t="str">
            <v>Borrowing - Table A17</v>
          </cell>
        </row>
        <row r="129">
          <cell r="B129" t="str">
            <v>Transfers &amp; Grant Receipts - Table A18</v>
          </cell>
        </row>
        <row r="130">
          <cell r="B130" t="str">
            <v>Expenditure on Transfers and Grant Program - Table A19</v>
          </cell>
        </row>
        <row r="131">
          <cell r="B131" t="str">
            <v>Reconciliation of transfers, grant receipts and unspent funds - Table A20</v>
          </cell>
        </row>
        <row r="132">
          <cell r="B132" t="str">
            <v>Transfers and Grants - Table A21</v>
          </cell>
        </row>
        <row r="133">
          <cell r="B133" t="str">
            <v>Summary councillor and staff benefits - Table A22</v>
          </cell>
        </row>
        <row r="134">
          <cell r="B134" t="str">
            <v>Salaries, allowances &amp; benefits (political office bearers/councillors/senior managers) - Table A23</v>
          </cell>
        </row>
        <row r="135">
          <cell r="B135" t="str">
            <v>Summary of personnel numbers - Table A24</v>
          </cell>
        </row>
        <row r="136">
          <cell r="B136" t="str">
            <v>Consolidated Budgeted Monthly Revenue &amp; Expenditure - Table A25</v>
          </cell>
        </row>
        <row r="137">
          <cell r="B137" t="str">
            <v>Consolidated Budgeted Monthly Revenue &amp; Expenditure (Municipal Vote) - Table A26</v>
          </cell>
        </row>
        <row r="138">
          <cell r="B138" t="str">
            <v>Consolidated Budgeted Monthly Revenue &amp; Expenditure (Standard Classification) - Table A27</v>
          </cell>
        </row>
        <row r="139">
          <cell r="B139" t="str">
            <v>Consolidated Budgeted Monthly Capital Expenditure (Municipal Vote) - Table A28</v>
          </cell>
        </row>
        <row r="140">
          <cell r="B140" t="str">
            <v>Consolidated Budgeted Monthly Capital Expenditure (Standard classification) - Table A29</v>
          </cell>
        </row>
        <row r="141">
          <cell r="B141" t="str">
            <v>Consolidated Budgeted Monthly Cash Flow - Table A30</v>
          </cell>
        </row>
        <row r="142">
          <cell r="B142" t="str">
            <v>Entity Budget Summation - Table A31</v>
          </cell>
        </row>
        <row r="143">
          <cell r="B143" t="str">
            <v>List of external mechanisms - Table A32</v>
          </cell>
        </row>
        <row r="144">
          <cell r="B144" t="str">
            <v>Contracts Having Future Budgetary Implications - Table A33</v>
          </cell>
        </row>
        <row r="145">
          <cell r="B145" t="str">
            <v>Consolidated Capital Expenditure by Asset Class/Sub-class - Table A34</v>
          </cell>
        </row>
        <row r="146">
          <cell r="B146" t="str">
            <v>Consolidated future financial implications of the capital expenditure budget - Table A35</v>
          </cell>
        </row>
        <row r="147">
          <cell r="B147" t="str">
            <v>Consolidated Detailed Capital Budget - Table A36</v>
          </cell>
        </row>
        <row r="148">
          <cell r="B148" t="str">
            <v>Consolidated - Projects delayed from previous financial year/s - Table A37</v>
          </cell>
        </row>
        <row r="174">
          <cell r="S174">
            <v>3.05</v>
          </cell>
        </row>
        <row r="175">
          <cell r="B175" t="str">
            <v>Adjustments Budget Financial Performance (Standard Operating Revenue &amp; Expenditure) - Schedule XX</v>
          </cell>
        </row>
        <row r="176">
          <cell r="B176" t="str">
            <v>Adjustments Budget Summation</v>
          </cell>
        </row>
        <row r="177">
          <cell r="B177" t="str">
            <v>Adjustments Budget Financial Performance (Standard Classification)</v>
          </cell>
        </row>
        <row r="178">
          <cell r="B178" t="str">
            <v>Adjustments Budget Financial Performance (Revenue &amp; Expenditure)</v>
          </cell>
        </row>
        <row r="179">
          <cell r="B179" t="str">
            <v>Adjustments Budget Financial Performance (Revenue &amp; Expenditure by Municipal Vote)</v>
          </cell>
        </row>
        <row r="180">
          <cell r="B180" t="str">
            <v>Adjustments Capital Expenditure Budget by Vote &amp; Funding</v>
          </cell>
        </row>
        <row r="181">
          <cell r="B181" t="str">
            <v>Adjustments Budget Financial Position</v>
          </cell>
        </row>
        <row r="182">
          <cell r="B182" t="str">
            <v>Adjustments Budget Cash Flows</v>
          </cell>
        </row>
        <row r="184">
          <cell r="B184" t="str">
            <v>Consolidated Cash backed reserves/accumulated surplus reconciliation</v>
          </cell>
        </row>
        <row r="185">
          <cell r="B185" t="str">
            <v>Consolidated Service (basic) delivery measurement</v>
          </cell>
        </row>
        <row r="186">
          <cell r="B186" t="str">
            <v>Consolidated Asset Management</v>
          </cell>
        </row>
        <row r="187">
          <cell r="B187" t="str">
            <v>Consolidated Adjustments to SDBIP (Performance Objectives) - Table C3</v>
          </cell>
        </row>
        <row r="188">
          <cell r="B188" t="str">
            <v>Supporting detail to Schedule C4 (Financial Performance Budget) - Table C1</v>
          </cell>
        </row>
        <row r="189">
          <cell r="B189" t="str">
            <v>Supporting detail to Schedule C6 (Financial Position Budget) - Table C2</v>
          </cell>
        </row>
        <row r="190">
          <cell r="B190" t="str">
            <v>Adjustments Budget Performance indicators - Table C4</v>
          </cell>
        </row>
        <row r="191">
          <cell r="B191" t="str">
            <v>Adjusted social, economic &amp; demographic statistics and assumptions - Table C5</v>
          </cell>
        </row>
        <row r="192">
          <cell r="B192" t="str">
            <v>Adjusted funding measurement - Table C6</v>
          </cell>
        </row>
        <row r="193">
          <cell r="B193" t="str">
            <v>Adjusted Transfers and Grant Receipts - Table C7</v>
          </cell>
        </row>
        <row r="194">
          <cell r="B194" t="str">
            <v>Adjusted expenditure on Transfers and Grant program - Table C8</v>
          </cell>
        </row>
        <row r="195">
          <cell r="B195" t="str">
            <v>Adjusted reconciliation of transfers and grant receipts, and unspent funds - Table C9</v>
          </cell>
        </row>
        <row r="196">
          <cell r="B196" t="str">
            <v>Adjusted Transfers and Grants - Table C10</v>
          </cell>
        </row>
        <row r="197">
          <cell r="B197" t="str">
            <v>Adjusted summary salary, allowances &amp; benefits - Table C11</v>
          </cell>
        </row>
        <row r="198">
          <cell r="B198" t="str">
            <v>Consolidated Adjustments Budget Monthly Revenue &amp; Expenditure - Table C14</v>
          </cell>
        </row>
        <row r="199">
          <cell r="B199" t="str">
            <v>Consolidated Adjustments Budget Monthly Revenue &amp; Expenditure (Municipal Vote) - Table C12</v>
          </cell>
        </row>
        <row r="200">
          <cell r="B200" t="str">
            <v>Consolidated Adjustments Budget Monthly Revenue &amp; Expenditure (Standard Classification) - Table C13</v>
          </cell>
        </row>
        <row r="201">
          <cell r="B201" t="str">
            <v>Consolidated Adjustments Budget Monthly Capital Expenditure (Municipal Vote) - Table C16</v>
          </cell>
        </row>
        <row r="202">
          <cell r="B202" t="str">
            <v>Consolidated Adjustments Budget Monthly Capital Expenditure (Standard classification) - Table C17</v>
          </cell>
        </row>
        <row r="203">
          <cell r="B203" t="str">
            <v>Consolidated Adjustments Budget Monthly Cash Flow - Table C15</v>
          </cell>
        </row>
        <row r="204">
          <cell r="B204" t="str">
            <v>No longer required???</v>
          </cell>
        </row>
        <row r="206">
          <cell r="B206" t="str">
            <v>Consolidated Adjusted Capital Expenditure by Asset Category - Table C18</v>
          </cell>
        </row>
        <row r="208">
          <cell r="B208" t="str">
            <v>SDBIP - Consolidated quarterly projections - Capital expenditure - SDBIP1</v>
          </cell>
        </row>
        <row r="209">
          <cell r="B209" t="str">
            <v>SDBIP - Consolidated quarterly projections - Operating revenue - SDBIP2</v>
          </cell>
        </row>
        <row r="210">
          <cell r="B210" t="str">
            <v>SDBIP - Consolidated quarterly projections - Operating expenditure - SDBIP3</v>
          </cell>
        </row>
        <row r="211">
          <cell r="B211" t="str">
            <v>SDBIP - Consolidated quarterly projections for service delivery targets/performance indicators - SDBIP4</v>
          </cell>
        </row>
        <row r="218">
          <cell r="B218" t="str">
            <v>Department [Each] Budgeted Monthly Operating Revenue &amp; Expenditure - SDBIP11</v>
          </cell>
        </row>
        <row r="220">
          <cell r="B220" t="str">
            <v>s71 Monthly Budget Statement Summation</v>
          </cell>
        </row>
        <row r="221">
          <cell r="B221" t="str">
            <v>Consolidated Monthly Budget Statement (Financial Performance - Standard Revenue &amp; Expenditure)</v>
          </cell>
        </row>
        <row r="222">
          <cell r="B222" t="str">
            <v>Consolidated Monthly Budget Statement (Financial Performance - Revenue &amp; Expenditure)</v>
          </cell>
        </row>
        <row r="223">
          <cell r="B223" t="str">
            <v>Consolidated Monthly Budget Statement (Financial Performance - Revenue &amp; Expenditure by Municipal Vote)</v>
          </cell>
        </row>
        <row r="224">
          <cell r="B224" t="str">
            <v>Consolidated Monthly Budget Statement - Capital Expenditure by Municipal Vote, Standard Classification &amp; Funding</v>
          </cell>
        </row>
        <row r="225">
          <cell r="B225" t="str">
            <v>Consolidated Financial Position Monthly Budget Statement</v>
          </cell>
        </row>
        <row r="226">
          <cell r="B226" t="str">
            <v>Consolidated Cash Flow Monthly Budget Statement</v>
          </cell>
        </row>
        <row r="227">
          <cell r="B227" t="str">
            <v>Aged Debtors Monthly Budget Statement - Table B3</v>
          </cell>
        </row>
        <row r="228">
          <cell r="B228" t="str">
            <v>Aged Creditors Monthly Budget Statement - Table B4</v>
          </cell>
        </row>
        <row r="229">
          <cell r="B229" t="str">
            <v>Investment Portfolio - Table B5</v>
          </cell>
        </row>
        <row r="230">
          <cell r="B230" t="str">
            <v>Quarterly performance report - Schedule CX</v>
          </cell>
        </row>
        <row r="231">
          <cell r="B231" t="str">
            <v>Municipal Entity/ies Summary Monthly Budget Statement - Table B11</v>
          </cell>
        </row>
        <row r="232">
          <cell r="B232" t="str">
            <v>Adjusted Municipal Entity Performance Summary - Table B12</v>
          </cell>
        </row>
        <row r="233">
          <cell r="B233" t="str">
            <v>Material variance explanation - Table B1</v>
          </cell>
        </row>
        <row r="234">
          <cell r="B234" t="str">
            <v>Transfers and Grant receipts - Table B6</v>
          </cell>
        </row>
        <row r="235">
          <cell r="B235" t="str">
            <v>Transfers and Grant expenditure - Table B7</v>
          </cell>
        </row>
        <row r="236">
          <cell r="B236" t="str">
            <v>Summary salary, allowances &amp; benefits - Table B8</v>
          </cell>
        </row>
        <row r="237">
          <cell r="B237" t="str">
            <v>Month actuals &amp; revised targets for revenue, expenditure and cash flow - Table B9</v>
          </cell>
        </row>
        <row r="238">
          <cell r="B238" t="str">
            <v>Performance Indicators Monthly Budget Statement - Table B2</v>
          </cell>
        </row>
        <row r="239">
          <cell r="B239" t="str">
            <v>Parent Monthly Budget Statement (Financial Performance (Revenue &amp; Expenditure by Vote) - Table B10</v>
          </cell>
        </row>
        <row r="240">
          <cell r="B240" t="str">
            <v>Capital Monthly Budget Statement - Consolidated Capital Expenditure Trend - Table B13</v>
          </cell>
        </row>
        <row r="241">
          <cell r="B241" t="str">
            <v>Capital Monthly Budget Statement - Consolidated Capital Expenditure by Asset Class/Sub-class - Table B14</v>
          </cell>
        </row>
        <row r="250">
          <cell r="B250" t="str">
            <v>Entity Budget Summation</v>
          </cell>
        </row>
        <row r="251">
          <cell r="B251" t="str">
            <v>Entity Budgeted Financial Performance (Revenue &amp; Expenditure)</v>
          </cell>
        </row>
        <row r="252">
          <cell r="B252" t="str">
            <v>Entity Financial Performance Bugdet (Revenue &amp; Expenditure by Municipal Vote) - Schedule2A</v>
          </cell>
        </row>
        <row r="253">
          <cell r="B253" t="str">
            <v>Entity Capital Budget by Vote &amp; Funding</v>
          </cell>
        </row>
        <row r="254">
          <cell r="B254" t="str">
            <v>Entity Budgeted Financial Position</v>
          </cell>
        </row>
        <row r="255">
          <cell r="B255" t="str">
            <v>Entity Budgeted Cash Flows</v>
          </cell>
        </row>
        <row r="256">
          <cell r="B256" t="str">
            <v>Entity Measurable performance targets - Table D1</v>
          </cell>
        </row>
        <row r="257">
          <cell r="B257" t="str">
            <v>Entity Financial and non-financial indicators - Table D2</v>
          </cell>
        </row>
        <row r="258">
          <cell r="B258" t="str">
            <v>Entity Budgeted Investment Portfolio - Table D3</v>
          </cell>
        </row>
        <row r="259">
          <cell r="B259" t="str">
            <v>Entity Board member allowances and staff benefits - Table D4</v>
          </cell>
        </row>
        <row r="260">
          <cell r="B260" t="str">
            <v>Entity Budgeted monthly cash and revenue/expenditure - Table D5</v>
          </cell>
        </row>
        <row r="261">
          <cell r="B261" t="str">
            <v>Entity Long term contracts - Table D6</v>
          </cell>
        </row>
        <row r="262">
          <cell r="B262" t="str">
            <v>Entity Capital Expenditure by Asset Category - Table D7</v>
          </cell>
        </row>
        <row r="263">
          <cell r="B263" t="str">
            <v>Entity future financial implications of the capital expenditure budget - Table D8</v>
          </cell>
        </row>
        <row r="264">
          <cell r="B264" t="str">
            <v>Entity detailed capital budget - Table D9</v>
          </cell>
        </row>
        <row r="265">
          <cell r="B265" t="str">
            <v>Entity external mechanisms - Table D10</v>
          </cell>
        </row>
        <row r="268">
          <cell r="B268" t="str">
            <v>Entity Adjusted Budget summary</v>
          </cell>
        </row>
        <row r="269">
          <cell r="B269" t="str">
            <v>Entity Adjusted Budgeted Financial Performance (Revenue &amp; Expenditure)</v>
          </cell>
        </row>
        <row r="270">
          <cell r="B270" t="str">
            <v>Entity Adjusted Capital Budget by Vote &amp; Funding</v>
          </cell>
        </row>
        <row r="271">
          <cell r="B271" t="str">
            <v>Entity Adjusted Budgeted Financial Position</v>
          </cell>
        </row>
        <row r="272">
          <cell r="B272" t="str">
            <v>Entity Adjusted Budgeted Cash Flows</v>
          </cell>
        </row>
        <row r="273">
          <cell r="B273" t="str">
            <v>Entity Adjusted Performance targets - Table F1</v>
          </cell>
        </row>
        <row r="274">
          <cell r="B274" t="str">
            <v>Entity Adjusted key financial and non-financial indicators - Table F2</v>
          </cell>
        </row>
        <row r="275">
          <cell r="B275" t="str">
            <v>Entity Adjusted Budgeted Investment Portfolio - Table F3</v>
          </cell>
        </row>
        <row r="276">
          <cell r="B276" t="str">
            <v>Entity Adjusted board member allowances &amp; staff benefits - Table F4</v>
          </cell>
        </row>
        <row r="277">
          <cell r="B277" t="str">
            <v>Entity Adjusted budgeted monthly cash and revenue/expenditure - Table F5</v>
          </cell>
        </row>
        <row r="278">
          <cell r="B278" t="str">
            <v>Entity Adjusted capital expenditure by asset category - Table F6</v>
          </cell>
        </row>
        <row r="279">
          <cell r="B279" t="str">
            <v>Entity Adjusted capital programs/projects - Table F7</v>
          </cell>
        </row>
        <row r="280">
          <cell r="B280" t="str">
            <v>Entity Adjusted long term contracts - Table F8</v>
          </cell>
        </row>
        <row r="282">
          <cell r="B282" t="str">
            <v>Entity Monthly Budget Statement summary</v>
          </cell>
        </row>
        <row r="283">
          <cell r="B283" t="str">
            <v>Entity Financial Performance Monthly Statement (Revenue &amp; Expenditure)</v>
          </cell>
        </row>
        <row r="284">
          <cell r="B284" t="str">
            <v>Entity Capital Budget Monthly Statement</v>
          </cell>
        </row>
        <row r="285">
          <cell r="B285" t="str">
            <v>Entity Financial Position Monthly Statement</v>
          </cell>
        </row>
        <row r="286">
          <cell r="B286" t="str">
            <v>Entity Cash Flows Monthly Statement</v>
          </cell>
        </row>
        <row r="287">
          <cell r="B287" t="str">
            <v>Entity Material variance explanation - Table E1</v>
          </cell>
        </row>
        <row r="288">
          <cell r="B288" t="str">
            <v>Entity Performance targets monthly statement - Table E2</v>
          </cell>
        </row>
        <row r="289">
          <cell r="B289" t="str">
            <v>Entity Financial and non-financial indicators - Table E3</v>
          </cell>
        </row>
        <row r="290">
          <cell r="B290" t="str">
            <v>Entity Board member allowances &amp; staff benefits - Table E4</v>
          </cell>
        </row>
        <row r="291">
          <cell r="B291" t="str">
            <v>Entity Aged debtors - Table E5</v>
          </cell>
        </row>
        <row r="292">
          <cell r="B292" t="str">
            <v>Entity Aged creditors - Table E6</v>
          </cell>
        </row>
        <row r="293">
          <cell r="B293" t="str">
            <v>Entity investment portfolio monthly statement - Table E7</v>
          </cell>
        </row>
        <row r="294">
          <cell r="B294" t="str">
            <v>Entity capital expenditure by asset class - Table E8</v>
          </cell>
        </row>
        <row r="295">
          <cell r="B295" t="str">
            <v>Entity monthly actuals &amp; revised targets - Table E9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3">
          <cell r="C3">
            <v>1.0649999999999999</v>
          </cell>
          <cell r="D3">
            <v>1.0399999999999998</v>
          </cell>
          <cell r="E3">
            <v>1.0399999999999998</v>
          </cell>
          <cell r="F3">
            <v>1.0349999999999999</v>
          </cell>
          <cell r="G3">
            <v>1.0349999999999999</v>
          </cell>
          <cell r="H3">
            <v>1.0349999999999999</v>
          </cell>
          <cell r="I3">
            <v>1.0349999999999999</v>
          </cell>
          <cell r="J3">
            <v>1.0349999999999999</v>
          </cell>
          <cell r="K3">
            <v>1.0349999999999999</v>
          </cell>
          <cell r="L3">
            <v>1.0349999999999999</v>
          </cell>
          <cell r="M3">
            <v>1.0349999999999999</v>
          </cell>
          <cell r="N3">
            <v>1.0349999999999999</v>
          </cell>
          <cell r="O3">
            <v>1.0349999999999999</v>
          </cell>
          <cell r="P3">
            <v>1.0349999999999999</v>
          </cell>
          <cell r="Q3">
            <v>1.0349999999999999</v>
          </cell>
          <cell r="R3">
            <v>1.0349999999999999</v>
          </cell>
        </row>
        <row r="7"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</row>
        <row r="8">
          <cell r="C8">
            <v>1.0772000000000002</v>
          </cell>
          <cell r="D8">
            <v>1.073</v>
          </cell>
          <cell r="E8">
            <v>1.097</v>
          </cell>
          <cell r="F8">
            <v>1.0940000000000001</v>
          </cell>
          <cell r="G8">
            <v>1.079</v>
          </cell>
          <cell r="H8">
            <v>1.083</v>
          </cell>
          <cell r="I8">
            <v>1.0820000000000001</v>
          </cell>
          <cell r="J8">
            <v>1.081</v>
          </cell>
          <cell r="K8">
            <v>1.08</v>
          </cell>
          <cell r="L8">
            <v>1.079</v>
          </cell>
          <cell r="M8">
            <v>1.079</v>
          </cell>
          <cell r="N8">
            <v>1.0780000000000001</v>
          </cell>
          <cell r="O8">
            <v>1.077</v>
          </cell>
          <cell r="P8">
            <v>1.0760000000000001</v>
          </cell>
          <cell r="Q8">
            <v>1.0760000000000001</v>
          </cell>
        </row>
        <row r="9">
          <cell r="C9">
            <v>1.0580000000000001</v>
          </cell>
        </row>
        <row r="10">
          <cell r="C10" t="e">
            <v>#REF!</v>
          </cell>
        </row>
        <row r="11">
          <cell r="C11" t="e">
            <v>#REF!</v>
          </cell>
          <cell r="D11">
            <v>1.083</v>
          </cell>
          <cell r="E11">
            <v>1.107</v>
          </cell>
          <cell r="F11">
            <v>1.1040000000000001</v>
          </cell>
          <cell r="G11">
            <v>1.079</v>
          </cell>
          <cell r="H11">
            <v>1.083</v>
          </cell>
          <cell r="I11">
            <v>1.0820000000000001</v>
          </cell>
          <cell r="J11">
            <v>1.081</v>
          </cell>
          <cell r="K11">
            <v>1.08</v>
          </cell>
          <cell r="L11">
            <v>1.079</v>
          </cell>
          <cell r="M11">
            <v>1.079</v>
          </cell>
          <cell r="N11">
            <v>1.0780000000000001</v>
          </cell>
          <cell r="O11">
            <v>1.077</v>
          </cell>
          <cell r="P11">
            <v>1.0760000000000001</v>
          </cell>
          <cell r="Q11">
            <v>1.0760000000000001</v>
          </cell>
          <cell r="R11">
            <v>1.0760000000000001</v>
          </cell>
        </row>
        <row r="13">
          <cell r="C13">
            <v>1.06</v>
          </cell>
          <cell r="D13">
            <v>1.0549999999999999</v>
          </cell>
          <cell r="E13">
            <v>1.0549999999999999</v>
          </cell>
          <cell r="F13">
            <v>1.05</v>
          </cell>
          <cell r="G13">
            <v>1.05</v>
          </cell>
          <cell r="H13">
            <v>1.05</v>
          </cell>
          <cell r="I13">
            <v>1.05</v>
          </cell>
          <cell r="J13">
            <v>1.05</v>
          </cell>
        </row>
        <row r="14">
          <cell r="C14">
            <v>1</v>
          </cell>
          <cell r="D14">
            <v>1</v>
          </cell>
          <cell r="E14">
            <v>1</v>
          </cell>
          <cell r="F14">
            <v>1</v>
          </cell>
        </row>
        <row r="17">
          <cell r="C17">
            <v>1.06</v>
          </cell>
          <cell r="D17">
            <v>1.0549999999999999</v>
          </cell>
          <cell r="E17">
            <v>1.0549999999999999</v>
          </cell>
          <cell r="F17">
            <v>1.05</v>
          </cell>
          <cell r="G17">
            <v>1.05</v>
          </cell>
          <cell r="H17">
            <v>1.05</v>
          </cell>
          <cell r="I17">
            <v>1.05</v>
          </cell>
          <cell r="J17">
            <v>1.05</v>
          </cell>
          <cell r="K17">
            <v>1.05</v>
          </cell>
          <cell r="L17">
            <v>1.05</v>
          </cell>
          <cell r="M17">
            <v>1.05</v>
          </cell>
          <cell r="N17">
            <v>1.05</v>
          </cell>
          <cell r="O17">
            <v>1.05</v>
          </cell>
          <cell r="P17">
            <v>1.05</v>
          </cell>
          <cell r="Q17">
            <v>1.05</v>
          </cell>
          <cell r="R17">
            <v>1.05</v>
          </cell>
        </row>
        <row r="18">
          <cell r="C18">
            <v>0.01</v>
          </cell>
        </row>
        <row r="19">
          <cell r="C19">
            <v>1</v>
          </cell>
        </row>
        <row r="20">
          <cell r="C20" t="e">
            <v>#REF!</v>
          </cell>
          <cell r="D20" t="e">
            <v>#DIV/0!</v>
          </cell>
          <cell r="E20" t="e">
            <v>#DIV/0!</v>
          </cell>
          <cell r="F20" t="e">
            <v>#DIV/0!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  <cell r="N20" t="e">
            <v>#DIV/0!</v>
          </cell>
          <cell r="O20" t="e">
            <v>#DIV/0!</v>
          </cell>
          <cell r="P20" t="e">
            <v>#DIV/0!</v>
          </cell>
          <cell r="Q20" t="e">
            <v>#DIV/0!</v>
          </cell>
          <cell r="R20" t="e">
            <v>#DIV/0!</v>
          </cell>
        </row>
        <row r="21">
          <cell r="D21">
            <v>0.01</v>
          </cell>
        </row>
        <row r="22">
          <cell r="C22">
            <v>1.0780000000000001</v>
          </cell>
          <cell r="D22" t="e">
            <v>#REF!</v>
          </cell>
          <cell r="E22" t="e">
            <v>#REF!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  <cell r="N22" t="e">
            <v>#DIV/0!</v>
          </cell>
          <cell r="O22" t="e">
            <v>#DIV/0!</v>
          </cell>
          <cell r="P22" t="e">
            <v>#DIV/0!</v>
          </cell>
          <cell r="Q22" t="e">
            <v>#DIV/0!</v>
          </cell>
          <cell r="R22" t="e">
            <v>#DIV/0!</v>
          </cell>
        </row>
        <row r="23">
          <cell r="C23">
            <v>0.98</v>
          </cell>
          <cell r="D23">
            <v>0.98</v>
          </cell>
          <cell r="E23">
            <v>0.98</v>
          </cell>
          <cell r="F23">
            <v>0.98</v>
          </cell>
          <cell r="G23">
            <v>0.98</v>
          </cell>
          <cell r="H23">
            <v>0.98</v>
          </cell>
          <cell r="I23">
            <v>0.98</v>
          </cell>
          <cell r="J23">
            <v>0.98</v>
          </cell>
          <cell r="K23">
            <v>0.98</v>
          </cell>
          <cell r="L23">
            <v>0.98</v>
          </cell>
          <cell r="M23">
            <v>0.98</v>
          </cell>
          <cell r="N23">
            <v>0.98</v>
          </cell>
          <cell r="O23">
            <v>0.98</v>
          </cell>
          <cell r="P23">
            <v>0.98</v>
          </cell>
          <cell r="Q23">
            <v>0.98</v>
          </cell>
          <cell r="R23">
            <v>0.98</v>
          </cell>
        </row>
        <row r="24">
          <cell r="C24" t="e">
            <v>#REF!</v>
          </cell>
          <cell r="D24">
            <v>0.10499999999999994</v>
          </cell>
          <cell r="E24">
            <v>0.10499999999999994</v>
          </cell>
          <cell r="F24">
            <v>0.10000000000000005</v>
          </cell>
          <cell r="G24">
            <v>0.10000000000000005</v>
          </cell>
          <cell r="H24">
            <v>0.10000000000000005</v>
          </cell>
          <cell r="I24">
            <v>0.10000000000000005</v>
          </cell>
          <cell r="J24">
            <v>0.10000000000000005</v>
          </cell>
          <cell r="K24">
            <v>0.10000000000000005</v>
          </cell>
          <cell r="L24">
            <v>0.10000000000000005</v>
          </cell>
          <cell r="M24">
            <v>0.10000000000000005</v>
          </cell>
          <cell r="N24">
            <v>0.10000000000000005</v>
          </cell>
          <cell r="O24">
            <v>0.10000000000000005</v>
          </cell>
          <cell r="P24">
            <v>0.10000000000000005</v>
          </cell>
          <cell r="Q24">
            <v>0.10000000000000005</v>
          </cell>
        </row>
        <row r="26"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C27">
            <v>4.2999999999999997E-2</v>
          </cell>
          <cell r="D27">
            <v>4.4999999999999998E-2</v>
          </cell>
          <cell r="E27">
            <v>4.2000000000000003E-2</v>
          </cell>
          <cell r="F27">
            <v>4.3999999999999997E-2</v>
          </cell>
          <cell r="G27">
            <v>2.9000000000000001E-2</v>
          </cell>
          <cell r="H27">
            <v>3.3000000000000002E-2</v>
          </cell>
          <cell r="I27">
            <v>3.2000000000000001E-2</v>
          </cell>
          <cell r="J27">
            <v>3.1E-2</v>
          </cell>
          <cell r="K27">
            <v>0.03</v>
          </cell>
          <cell r="L27">
            <v>2.9000000000000001E-2</v>
          </cell>
          <cell r="M27">
            <v>2.9000000000000001E-2</v>
          </cell>
          <cell r="N27">
            <v>2.8000000000000001E-2</v>
          </cell>
          <cell r="O27">
            <v>2.7E-2</v>
          </cell>
          <cell r="P27">
            <v>2.5999999999999999E-2</v>
          </cell>
          <cell r="Q27">
            <v>2.5999999999999999E-2</v>
          </cell>
        </row>
        <row r="28">
          <cell r="D28">
            <v>2E-3</v>
          </cell>
          <cell r="E28">
            <v>3.0000000000000001E-3</v>
          </cell>
          <cell r="F28">
            <v>5.0000000000000001E-3</v>
          </cell>
          <cell r="G28">
            <v>0.01</v>
          </cell>
          <cell r="H28">
            <v>5.0000000000000001E-3</v>
          </cell>
          <cell r="I28">
            <v>3.0000000000000001E-3</v>
          </cell>
          <cell r="J28">
            <v>2E-3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C30" t="e">
            <v>#REF!</v>
          </cell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 t="e">
            <v>#DIV/0!</v>
          </cell>
          <cell r="K30" t="e">
            <v>#DIV/0!</v>
          </cell>
          <cell r="L30" t="e">
            <v>#DIV/0!</v>
          </cell>
          <cell r="M30" t="e">
            <v>#DIV/0!</v>
          </cell>
          <cell r="N30" t="e">
            <v>#DIV/0!</v>
          </cell>
          <cell r="O30" t="e">
            <v>#DIV/0!</v>
          </cell>
          <cell r="P30" t="e">
            <v>#DIV/0!</v>
          </cell>
          <cell r="Q30" t="e">
            <v>#DIV/0!</v>
          </cell>
          <cell r="R30" t="e">
            <v>#DIV/0!</v>
          </cell>
        </row>
        <row r="31">
          <cell r="C31" t="e">
            <v>#REF!</v>
          </cell>
        </row>
        <row r="32">
          <cell r="C32">
            <v>0</v>
          </cell>
        </row>
        <row r="33">
          <cell r="C33" t="e">
            <v>#REF!</v>
          </cell>
          <cell r="D33" t="e">
            <v>#REF!</v>
          </cell>
          <cell r="E33" t="e">
            <v>#REF!</v>
          </cell>
          <cell r="F33">
            <v>0.98</v>
          </cell>
          <cell r="G33">
            <v>0.98</v>
          </cell>
          <cell r="H33">
            <v>0.98</v>
          </cell>
          <cell r="I33">
            <v>0.98</v>
          </cell>
          <cell r="J33">
            <v>0.98</v>
          </cell>
          <cell r="K33">
            <v>0.98</v>
          </cell>
          <cell r="L33">
            <v>0.98</v>
          </cell>
          <cell r="M33">
            <v>0.98</v>
          </cell>
          <cell r="N33">
            <v>0.98</v>
          </cell>
          <cell r="O33">
            <v>0.98</v>
          </cell>
          <cell r="P33">
            <v>0.98</v>
          </cell>
          <cell r="Q33">
            <v>0.98</v>
          </cell>
          <cell r="R33">
            <v>0.98</v>
          </cell>
        </row>
      </sheetData>
      <sheetData sheetId="17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Cash Flow"/>
    </sheetNames>
    <sheetDataSet>
      <sheetData sheetId="0" refreshError="1">
        <row r="50">
          <cell r="D50">
            <v>1.07</v>
          </cell>
          <cell r="E50">
            <v>1.0649999999999999</v>
          </cell>
          <cell r="F50">
            <v>1.06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"/>
      <sheetName val="PIs"/>
      <sheetName val="SFP"/>
      <sheetName val="Stack graph"/>
      <sheetName val="Rev target"/>
      <sheetName val="Monthly SFP Bud"/>
      <sheetName val="Capex"/>
      <sheetName val="Capex graphs"/>
      <sheetName val="Capex history"/>
      <sheetName val="Cash"/>
      <sheetName val="YTD cash targets"/>
      <sheetName val="Debtors"/>
      <sheetName val="Creditors"/>
    </sheetNames>
    <sheetDataSet>
      <sheetData sheetId="0" refreshError="1">
        <row r="1">
          <cell r="B1" t="str">
            <v>December</v>
          </cell>
        </row>
        <row r="2">
          <cell r="B2">
            <v>31</v>
          </cell>
        </row>
        <row r="3">
          <cell r="B3">
            <v>2007</v>
          </cell>
        </row>
        <row r="4">
          <cell r="B4" t="str">
            <v>2006/07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ove Specification"/>
      <sheetName val="Directory and scenarios"/>
      <sheetName val="Options"/>
      <sheetName val="Names"/>
      <sheetName val="Summary table"/>
      <sheetName val="Schedule 1"/>
      <sheetName val="Schedule2"/>
      <sheetName val="Schedule 3"/>
      <sheetName val="Schedule 4"/>
      <sheetName val="Schedule 5"/>
      <sheetName val="Schedule 6"/>
      <sheetName val="Schedule 7"/>
      <sheetName val="Funding note"/>
      <sheetName val="Notes 1 &amp; 2"/>
      <sheetName val="Note 3"/>
      <sheetName val="Note 4"/>
      <sheetName val="Note 5"/>
      <sheetName val="Note 6"/>
      <sheetName val="Note 7"/>
      <sheetName val="Note 8"/>
      <sheetName val="Note 9"/>
      <sheetName val="Note 10"/>
      <sheetName val="Notes 11-13"/>
      <sheetName val="Note 14"/>
      <sheetName val="Note 15"/>
      <sheetName val="Note 16"/>
      <sheetName val="Note 17"/>
      <sheetName val="Note 18"/>
      <sheetName val="Note 19"/>
      <sheetName val="Note 20"/>
      <sheetName val="Note 21 PIs"/>
      <sheetName val="Note 22"/>
      <sheetName val="Note 23"/>
      <sheetName val="Charts Values"/>
      <sheetName val="Charts"/>
      <sheetName val="SDBIP2"/>
      <sheetName val="SDBIP2A"/>
      <sheetName val="SDBIP3"/>
      <sheetName val="SDBIP4"/>
      <sheetName val="ADJ1"/>
      <sheetName val="ADJ2"/>
      <sheetName val="ADJ3"/>
      <sheetName val="ADJ4"/>
      <sheetName val="ADJ5"/>
      <sheetName val="ADJ6"/>
      <sheetName val="ADJ7"/>
      <sheetName val="ADJ8"/>
      <sheetName val="ADJ9"/>
      <sheetName val="ADJ10"/>
      <sheetName val="S71A"/>
      <sheetName val="S71B"/>
      <sheetName val="S71C"/>
      <sheetName val="S71D"/>
      <sheetName val="S71E"/>
      <sheetName val="S71F"/>
      <sheetName val="S71G"/>
      <sheetName val="S71H"/>
      <sheetName val="S71I"/>
      <sheetName val="S71J"/>
      <sheetName val="S71K"/>
      <sheetName val="S71L"/>
      <sheetName val="MEB1"/>
      <sheetName val="MEB2"/>
      <sheetName val="MEB3"/>
      <sheetName val="MEB4"/>
      <sheetName val="MEB5"/>
      <sheetName val="MEB6"/>
      <sheetName val="MEB7"/>
      <sheetName val="MEAB1"/>
      <sheetName val="MEAB2"/>
      <sheetName val="MEAB3"/>
      <sheetName val="MEAB4"/>
      <sheetName val="MEAB5"/>
      <sheetName val="MEAB6"/>
      <sheetName val="MER1"/>
      <sheetName val="MER2"/>
      <sheetName val="MER3"/>
      <sheetName val="MER4"/>
      <sheetName val="MER5"/>
      <sheetName val="All ME SFPos"/>
      <sheetName val="ME Total SPerf"/>
      <sheetName val="Parent SFPos"/>
      <sheetName val="Cash Flow"/>
      <sheetName val="SFPerf Consol"/>
      <sheetName val="Consolidated SFPos"/>
      <sheetName val="Capex"/>
      <sheetName val="SFPerfDept"/>
      <sheetName val="SFPerf"/>
      <sheetName val="Economic assumptions"/>
      <sheetName val="Targets"/>
      <sheetName val="Munitoria PPP"/>
      <sheetName val="Statistics"/>
      <sheetName val="Tables"/>
      <sheetName val="Asset Reg"/>
      <sheetName val="New structure by DEPT"/>
      <sheetName val="Loan repayment schedule"/>
      <sheetName val="Investments"/>
      <sheetName val="MIIF"/>
      <sheetName val="Capital Budget"/>
      <sheetName val="Capex funding schedule"/>
      <sheetName val="New borrowing"/>
      <sheetName val="Parent SFPos excl RED"/>
      <sheetName val="Employee costs"/>
      <sheetName val="Funding option calcs"/>
      <sheetName val="Bad debts"/>
      <sheetName val="General Assess"/>
      <sheetName val="Governing"/>
      <sheetName val="MM"/>
      <sheetName val="COO"/>
      <sheetName val="Finance"/>
      <sheetName val="Corporate Services"/>
      <sheetName val="Legal"/>
      <sheetName val="Economic Dev"/>
      <sheetName val="Transport"/>
      <sheetName val="Marketing"/>
      <sheetName val="Health and Social"/>
      <sheetName val="Emergency"/>
      <sheetName val="Metropol"/>
      <sheetName val="Housing"/>
      <sheetName val="Roads and Stormwater"/>
      <sheetName val="Water and Sanitation"/>
      <sheetName val="Electricity"/>
      <sheetName val="RTWST"/>
      <sheetName val="Civirelo"/>
      <sheetName val="Sheet1"/>
      <sheetName val="Sandspruit"/>
      <sheetName val="ME report"/>
      <sheetName val="Tshwane Housing Co"/>
      <sheetName val="Lebone"/>
      <sheetName val="Trade Point"/>
      <sheetName val="TCBIS"/>
      <sheetName val="ESAT"/>
      <sheetName val="New structure Control SFP"/>
      <sheetName val="EM &amp; MM"/>
      <sheetName val="MM IT ex Corp Serv"/>
      <sheetName val="Gen Assess"/>
      <sheetName val="Financial Services"/>
      <sheetName val="Corporate &amp; Shared"/>
      <sheetName val="Community Safety"/>
      <sheetName val="Economic Development"/>
      <sheetName val="Health &amp; Social"/>
      <sheetName val="Ambulance"/>
      <sheetName val="Sport &amp; Recreation"/>
      <sheetName val="Housing Services"/>
      <sheetName val="Agriculture &amp; EM"/>
      <sheetName val="Public Works"/>
      <sheetName val="REDS"/>
      <sheetName val="Roads &amp; Stormwater"/>
      <sheetName val="Transport Development"/>
      <sheetName val="Water &amp; Sanitation"/>
      <sheetName val="City Planning &amp; RS"/>
      <sheetName val="% allocations"/>
    </sheetNames>
    <sheetDataSet>
      <sheetData sheetId="0" refreshError="1"/>
      <sheetData sheetId="1" refreshError="1"/>
      <sheetData sheetId="2" refreshError="1"/>
      <sheetData sheetId="3">
        <row r="89">
          <cell r="B89" t="str">
            <v>Measureable performance objectives - Note 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4"/>
  <sheetViews>
    <sheetView topLeftCell="A4" workbookViewId="0">
      <selection activeCell="J19" sqref="J19:K19"/>
    </sheetView>
  </sheetViews>
  <sheetFormatPr defaultRowHeight="11.25" x14ac:dyDescent="0.2"/>
  <cols>
    <col min="1" max="1" width="37.7109375" style="6" bestFit="1" customWidth="1"/>
    <col min="2" max="16384" width="9.140625" style="6"/>
  </cols>
  <sheetData>
    <row r="1" spans="1:1" x14ac:dyDescent="0.2">
      <c r="A1" s="29" t="s">
        <v>112</v>
      </c>
    </row>
    <row r="2" spans="1:1" x14ac:dyDescent="0.2">
      <c r="A2" s="30" t="s">
        <v>101</v>
      </c>
    </row>
    <row r="3" spans="1:1" x14ac:dyDescent="0.2">
      <c r="A3" s="6" t="s">
        <v>97</v>
      </c>
    </row>
    <row r="4" spans="1:1" x14ac:dyDescent="0.2">
      <c r="A4" s="6" t="s">
        <v>98</v>
      </c>
    </row>
    <row r="5" spans="1:1" x14ac:dyDescent="0.2">
      <c r="A5" s="6" t="s">
        <v>100</v>
      </c>
    </row>
    <row r="6" spans="1:1" x14ac:dyDescent="0.2">
      <c r="A6" s="6" t="s">
        <v>99</v>
      </c>
    </row>
    <row r="7" spans="1:1" x14ac:dyDescent="0.2">
      <c r="A7" s="6" t="s">
        <v>59</v>
      </c>
    </row>
    <row r="8" spans="1:1" x14ac:dyDescent="0.2">
      <c r="A8" s="6" t="s">
        <v>60</v>
      </c>
    </row>
    <row r="9" spans="1:1" x14ac:dyDescent="0.2">
      <c r="A9" s="6" t="s">
        <v>57</v>
      </c>
    </row>
    <row r="10" spans="1:1" x14ac:dyDescent="0.2">
      <c r="A10" s="6" t="s">
        <v>58</v>
      </c>
    </row>
    <row r="12" spans="1:1" x14ac:dyDescent="0.2">
      <c r="A12" s="30" t="s">
        <v>102</v>
      </c>
    </row>
    <row r="13" spans="1:1" x14ac:dyDescent="0.2">
      <c r="A13" s="6" t="str">
        <f>Capital!A1</f>
        <v>Capital Expenditure by Standard Classification</v>
      </c>
    </row>
    <row r="14" spans="1:1" x14ac:dyDescent="0.2">
      <c r="A14" s="6" t="str">
        <f>Capital!A58&amp;" - Major"</f>
        <v>Capital Expenditure by Municipal Vote - Major</v>
      </c>
    </row>
    <row r="15" spans="1:1" x14ac:dyDescent="0.2">
      <c r="A15" s="6" t="str">
        <f>Capital!A58&amp;" - Minor"</f>
        <v>Capital Expenditure by Municipal Vote - Minor</v>
      </c>
    </row>
    <row r="16" spans="1:1" x14ac:dyDescent="0.2">
      <c r="A16" s="6" t="str">
        <f>Capital!A212</f>
        <v>Capital funding by source</v>
      </c>
    </row>
    <row r="18" spans="1:1" x14ac:dyDescent="0.2">
      <c r="A18" s="30" t="s">
        <v>104</v>
      </c>
    </row>
    <row r="19" spans="1:1" x14ac:dyDescent="0.2">
      <c r="A19" s="6" t="str">
        <f>IDP!A1</f>
        <v>IDP Strategic Objective - Revenue</v>
      </c>
    </row>
    <row r="20" spans="1:1" x14ac:dyDescent="0.2">
      <c r="A20" s="6" t="str">
        <f>IDP!A39</f>
        <v>IDP Strategic Objective - Expenditure</v>
      </c>
    </row>
    <row r="21" spans="1:1" x14ac:dyDescent="0.2">
      <c r="A21" s="6" t="str">
        <f>IDP!A76</f>
        <v>IDP Strategic Objective - Capital Expenditure</v>
      </c>
    </row>
    <row r="23" spans="1:1" x14ac:dyDescent="0.2">
      <c r="A23" s="30" t="s">
        <v>105</v>
      </c>
    </row>
    <row r="24" spans="1:1" x14ac:dyDescent="0.2">
      <c r="A24" s="6" t="str">
        <f>Misc!A1</f>
        <v>Cash flow trend</v>
      </c>
    </row>
    <row r="25" spans="1:1" x14ac:dyDescent="0.2">
      <c r="A25" s="6" t="str">
        <f>Misc!A31</f>
        <v>Increases in service charges</v>
      </c>
    </row>
    <row r="26" spans="1:1" x14ac:dyDescent="0.2">
      <c r="A26" s="6" t="s">
        <v>106</v>
      </c>
    </row>
    <row r="27" spans="1:1" x14ac:dyDescent="0.2">
      <c r="A27" s="6" t="str">
        <f>Misc!A71</f>
        <v>Borrowing</v>
      </c>
    </row>
    <row r="28" spans="1:1" x14ac:dyDescent="0.2">
      <c r="A28" s="6" t="str">
        <f>Misc!A125</f>
        <v>Distribution losses</v>
      </c>
    </row>
    <row r="29" spans="1:1" x14ac:dyDescent="0.2">
      <c r="A29" s="6" t="str">
        <f>Misc!A154</f>
        <v>Borrowed capex funding</v>
      </c>
    </row>
    <row r="30" spans="1:1" x14ac:dyDescent="0.2">
      <c r="A30" s="6" t="s">
        <v>107</v>
      </c>
    </row>
    <row r="31" spans="1:1" x14ac:dyDescent="0.2">
      <c r="A31" s="6" t="s">
        <v>108</v>
      </c>
    </row>
    <row r="32" spans="1:1" x14ac:dyDescent="0.2">
      <c r="A32" s="6" t="s">
        <v>109</v>
      </c>
    </row>
    <row r="33" spans="1:1" x14ac:dyDescent="0.2">
      <c r="A33" s="6" t="s">
        <v>110</v>
      </c>
    </row>
    <row r="34" spans="1:1" x14ac:dyDescent="0.2">
      <c r="A34" s="6" t="s">
        <v>111</v>
      </c>
    </row>
  </sheetData>
  <sheetProtection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292"/>
  <sheetViews>
    <sheetView topLeftCell="A299" zoomScaleNormal="100" workbookViewId="0">
      <selection activeCell="A270" sqref="A270"/>
    </sheetView>
  </sheetViews>
  <sheetFormatPr defaultRowHeight="11.25" x14ac:dyDescent="0.2"/>
  <cols>
    <col min="1" max="1" width="35.7109375" style="1" customWidth="1"/>
    <col min="2" max="11" width="6.7109375" style="1" customWidth="1"/>
    <col min="12" max="12" width="2.7109375" style="1" customWidth="1"/>
    <col min="13" max="21" width="8.7109375" style="1" customWidth="1"/>
    <col min="22" max="32" width="9.140625" style="1"/>
    <col min="33" max="33" width="10" style="1" bestFit="1" customWidth="1"/>
    <col min="34" max="16384" width="9.140625" style="1"/>
  </cols>
  <sheetData>
    <row r="1" spans="1:11" ht="33.75" x14ac:dyDescent="0.2">
      <c r="A1" s="3" t="s">
        <v>1</v>
      </c>
      <c r="B1" s="4" t="s">
        <v>122</v>
      </c>
      <c r="C1" s="4" t="s">
        <v>125</v>
      </c>
      <c r="D1" s="4" t="s">
        <v>126</v>
      </c>
      <c r="E1" s="4" t="s">
        <v>127</v>
      </c>
      <c r="F1" s="4" t="s">
        <v>128</v>
      </c>
      <c r="G1" s="4" t="s">
        <v>129</v>
      </c>
      <c r="H1" s="4" t="s">
        <v>130</v>
      </c>
      <c r="I1" s="4" t="s">
        <v>131</v>
      </c>
      <c r="J1" s="4" t="s">
        <v>132</v>
      </c>
      <c r="K1" s="4" t="s">
        <v>133</v>
      </c>
    </row>
    <row r="2" spans="1:11" x14ac:dyDescent="0.2">
      <c r="A2" s="18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>
        <v>0</v>
      </c>
    </row>
    <row r="3" spans="1:11" x14ac:dyDescent="0.2">
      <c r="A3" s="18" t="s">
        <v>37</v>
      </c>
      <c r="B3" s="31">
        <v>986000</v>
      </c>
      <c r="C3" s="31">
        <v>0</v>
      </c>
      <c r="D3" s="31"/>
      <c r="E3" s="31"/>
      <c r="F3" s="31"/>
      <c r="G3" s="31">
        <f>E3</f>
        <v>0</v>
      </c>
      <c r="H3" s="31">
        <f>G3</f>
        <v>0</v>
      </c>
      <c r="I3" s="31"/>
      <c r="J3" s="31"/>
      <c r="K3" s="31">
        <v>0</v>
      </c>
    </row>
    <row r="4" spans="1:11" x14ac:dyDescent="0.2">
      <c r="A4" s="18" t="s">
        <v>40</v>
      </c>
      <c r="B4" s="31"/>
      <c r="C4" s="31"/>
      <c r="D4" s="31"/>
      <c r="E4" s="31"/>
      <c r="F4" s="31"/>
      <c r="G4" s="31">
        <f t="shared" ref="G4:G19" si="0">E4</f>
        <v>0</v>
      </c>
      <c r="H4" s="31">
        <f t="shared" ref="H4:H14" si="1">G4</f>
        <v>0</v>
      </c>
      <c r="I4" s="31"/>
      <c r="J4" s="31"/>
      <c r="K4" s="31">
        <v>0</v>
      </c>
    </row>
    <row r="5" spans="1:11" x14ac:dyDescent="0.2">
      <c r="A5" s="18" t="s">
        <v>41</v>
      </c>
      <c r="B5" s="31"/>
      <c r="C5" s="31"/>
      <c r="D5" s="31"/>
      <c r="E5" s="31"/>
      <c r="F5" s="31"/>
      <c r="G5" s="31">
        <f t="shared" si="0"/>
        <v>0</v>
      </c>
      <c r="H5" s="31">
        <f t="shared" si="1"/>
        <v>0</v>
      </c>
      <c r="I5" s="31"/>
      <c r="J5" s="31"/>
      <c r="K5" s="31">
        <v>0</v>
      </c>
    </row>
    <row r="6" spans="1:11" x14ac:dyDescent="0.2">
      <c r="A6" s="18" t="s">
        <v>36</v>
      </c>
      <c r="B6" s="31">
        <v>2361000</v>
      </c>
      <c r="C6" s="31">
        <v>2923000</v>
      </c>
      <c r="D6" s="31">
        <v>1386000</v>
      </c>
      <c r="E6" s="31">
        <v>1561000</v>
      </c>
      <c r="F6" s="31">
        <v>0</v>
      </c>
      <c r="G6" s="31">
        <f t="shared" si="0"/>
        <v>1561000</v>
      </c>
      <c r="H6" s="31">
        <f t="shared" si="1"/>
        <v>1561000</v>
      </c>
      <c r="I6" s="31">
        <v>1491000</v>
      </c>
      <c r="J6" s="31">
        <v>1566000</v>
      </c>
      <c r="K6" s="31">
        <v>1644000</v>
      </c>
    </row>
    <row r="7" spans="1:11" x14ac:dyDescent="0.2">
      <c r="A7" s="18" t="s">
        <v>39</v>
      </c>
      <c r="B7" s="31"/>
      <c r="C7" s="31"/>
      <c r="D7" s="31">
        <v>0</v>
      </c>
      <c r="E7" s="31">
        <v>27928000</v>
      </c>
      <c r="F7" s="31"/>
      <c r="G7" s="31">
        <f t="shared" si="0"/>
        <v>27928000</v>
      </c>
      <c r="H7" s="31">
        <f t="shared" si="1"/>
        <v>27928000</v>
      </c>
      <c r="I7" s="31">
        <v>15970000</v>
      </c>
      <c r="J7" s="31">
        <v>176000</v>
      </c>
      <c r="K7" s="31">
        <v>0</v>
      </c>
    </row>
    <row r="8" spans="1:11" x14ac:dyDescent="0.2">
      <c r="A8" s="18" t="s">
        <v>28</v>
      </c>
      <c r="B8" s="31"/>
      <c r="C8" s="31"/>
      <c r="D8" s="31">
        <v>0</v>
      </c>
      <c r="E8" s="31">
        <v>0</v>
      </c>
      <c r="F8" s="31"/>
      <c r="G8" s="31">
        <f t="shared" si="0"/>
        <v>0</v>
      </c>
      <c r="H8" s="31">
        <f t="shared" si="1"/>
        <v>0</v>
      </c>
      <c r="I8" s="31">
        <v>0</v>
      </c>
      <c r="J8" s="31">
        <f>I8*105.3%</f>
        <v>0</v>
      </c>
      <c r="K8" s="31">
        <f>J8*105.5%</f>
        <v>0</v>
      </c>
    </row>
    <row r="9" spans="1:11" x14ac:dyDescent="0.2">
      <c r="A9" s="18" t="s">
        <v>33</v>
      </c>
      <c r="B9" s="31">
        <v>1448000</v>
      </c>
      <c r="C9" s="31">
        <v>1565000</v>
      </c>
      <c r="D9" s="31">
        <v>885000</v>
      </c>
      <c r="E9" s="31">
        <v>1500000</v>
      </c>
      <c r="F9" s="31">
        <v>0</v>
      </c>
      <c r="G9" s="31">
        <f t="shared" si="0"/>
        <v>1500000</v>
      </c>
      <c r="H9" s="31">
        <f t="shared" si="1"/>
        <v>1500000</v>
      </c>
      <c r="I9" s="31">
        <v>750000</v>
      </c>
      <c r="J9" s="31">
        <v>795000</v>
      </c>
      <c r="K9" s="31">
        <v>835000</v>
      </c>
    </row>
    <row r="10" spans="1:11" x14ac:dyDescent="0.2">
      <c r="A10" s="18" t="s">
        <v>30</v>
      </c>
      <c r="B10" s="31"/>
      <c r="C10" s="31">
        <v>0</v>
      </c>
      <c r="D10" s="31">
        <v>0</v>
      </c>
      <c r="E10" s="31">
        <v>0</v>
      </c>
      <c r="F10" s="31">
        <v>0</v>
      </c>
      <c r="G10" s="31">
        <f t="shared" si="0"/>
        <v>0</v>
      </c>
      <c r="H10" s="31">
        <f t="shared" si="1"/>
        <v>0</v>
      </c>
      <c r="I10" s="31">
        <v>0</v>
      </c>
      <c r="J10" s="31">
        <f>I10*105.3%</f>
        <v>0</v>
      </c>
      <c r="K10" s="31">
        <f>J10*105.5%</f>
        <v>0</v>
      </c>
    </row>
    <row r="11" spans="1:11" x14ac:dyDescent="0.2">
      <c r="A11" s="18" t="s">
        <v>31</v>
      </c>
      <c r="B11" s="31">
        <v>995000</v>
      </c>
      <c r="C11" s="31">
        <v>206000</v>
      </c>
      <c r="D11" s="31">
        <v>205000</v>
      </c>
      <c r="E11" s="31">
        <v>215000</v>
      </c>
      <c r="F11" s="31">
        <v>0</v>
      </c>
      <c r="G11" s="31">
        <f t="shared" si="0"/>
        <v>215000</v>
      </c>
      <c r="H11" s="31">
        <f t="shared" si="1"/>
        <v>215000</v>
      </c>
      <c r="I11" s="31">
        <v>215000</v>
      </c>
      <c r="J11" s="31">
        <v>228000</v>
      </c>
      <c r="K11" s="31">
        <v>239000</v>
      </c>
    </row>
    <row r="12" spans="1:11" x14ac:dyDescent="0.2">
      <c r="A12" s="18" t="s">
        <v>29</v>
      </c>
      <c r="B12" s="31">
        <v>6030000</v>
      </c>
      <c r="C12" s="31">
        <v>6555000</v>
      </c>
      <c r="D12" s="31">
        <v>5407000</v>
      </c>
      <c r="E12" s="31">
        <v>7449000</v>
      </c>
      <c r="F12" s="31">
        <v>0</v>
      </c>
      <c r="G12" s="31">
        <f t="shared" si="0"/>
        <v>7449000</v>
      </c>
      <c r="H12" s="31">
        <f t="shared" si="1"/>
        <v>7449000</v>
      </c>
      <c r="I12" s="31">
        <v>8655000</v>
      </c>
      <c r="J12" s="31">
        <v>8655000</v>
      </c>
      <c r="K12" s="31">
        <v>9250000</v>
      </c>
    </row>
    <row r="13" spans="1:11" x14ac:dyDescent="0.2">
      <c r="A13" s="19" t="s">
        <v>38</v>
      </c>
      <c r="B13" s="32">
        <v>4542000</v>
      </c>
      <c r="C13" s="32">
        <v>9035000</v>
      </c>
      <c r="D13" s="32">
        <v>23449000</v>
      </c>
      <c r="E13" s="32">
        <v>17713000</v>
      </c>
      <c r="F13" s="32">
        <v>0</v>
      </c>
      <c r="G13" s="31">
        <f t="shared" si="0"/>
        <v>17713000</v>
      </c>
      <c r="H13" s="31">
        <f t="shared" si="1"/>
        <v>17713000</v>
      </c>
      <c r="I13" s="32">
        <f>17544000+160000</f>
        <v>17704000</v>
      </c>
      <c r="J13" s="31">
        <f>9808000+159000</f>
        <v>9967000</v>
      </c>
      <c r="K13" s="31">
        <f>5670000+167000</f>
        <v>5837000</v>
      </c>
    </row>
    <row r="14" spans="1:11" x14ac:dyDescent="0.2">
      <c r="A14" s="19" t="s">
        <v>35</v>
      </c>
      <c r="B14" s="32">
        <v>1435000</v>
      </c>
      <c r="C14" s="32">
        <v>2202000</v>
      </c>
      <c r="D14" s="32">
        <v>1629000</v>
      </c>
      <c r="E14" s="32">
        <v>3000000</v>
      </c>
      <c r="F14" s="32">
        <v>0</v>
      </c>
      <c r="G14" s="31">
        <f t="shared" si="0"/>
        <v>3000000</v>
      </c>
      <c r="H14" s="31">
        <f t="shared" si="1"/>
        <v>3000000</v>
      </c>
      <c r="I14" s="32">
        <v>1800000</v>
      </c>
      <c r="J14" s="31">
        <v>1908000</v>
      </c>
      <c r="K14" s="31">
        <v>2003000</v>
      </c>
    </row>
    <row r="15" spans="1:11" ht="12" thickBot="1" x14ac:dyDescent="0.25">
      <c r="A15" s="20" t="s">
        <v>32</v>
      </c>
      <c r="B15" s="33">
        <v>170000</v>
      </c>
      <c r="C15" s="33">
        <v>546000</v>
      </c>
      <c r="D15" s="33">
        <v>0</v>
      </c>
      <c r="E15" s="33">
        <v>0</v>
      </c>
      <c r="F15" s="33">
        <v>0</v>
      </c>
      <c r="G15" s="33">
        <f t="shared" si="0"/>
        <v>0</v>
      </c>
      <c r="H15" s="33">
        <f>G15</f>
        <v>0</v>
      </c>
      <c r="I15" s="33">
        <v>0</v>
      </c>
      <c r="J15" s="33"/>
      <c r="K15" s="33"/>
    </row>
    <row r="16" spans="1:11" x14ac:dyDescent="0.2">
      <c r="A16" s="18" t="s">
        <v>10</v>
      </c>
      <c r="B16" s="31">
        <v>34146000</v>
      </c>
      <c r="C16" s="31">
        <v>46576000</v>
      </c>
      <c r="D16" s="31">
        <v>34516000</v>
      </c>
      <c r="E16" s="31">
        <v>37033000</v>
      </c>
      <c r="F16" s="31">
        <v>0</v>
      </c>
      <c r="G16" s="31">
        <f t="shared" si="0"/>
        <v>37033000</v>
      </c>
      <c r="H16" s="31">
        <f>G16</f>
        <v>37033000</v>
      </c>
      <c r="I16" s="31">
        <v>42767000</v>
      </c>
      <c r="J16" s="31">
        <v>50537000</v>
      </c>
      <c r="K16" s="31">
        <v>54181000</v>
      </c>
    </row>
    <row r="17" spans="1:11" x14ac:dyDescent="0.2">
      <c r="A17" s="18" t="s">
        <v>11</v>
      </c>
      <c r="B17" s="31"/>
      <c r="C17" s="31"/>
      <c r="D17" s="31">
        <v>0</v>
      </c>
      <c r="E17" s="31">
        <v>0</v>
      </c>
      <c r="F17" s="31"/>
      <c r="G17" s="31">
        <f t="shared" si="0"/>
        <v>0</v>
      </c>
      <c r="H17" s="31"/>
      <c r="I17" s="31">
        <v>0</v>
      </c>
      <c r="J17" s="31"/>
      <c r="K17" s="31"/>
    </row>
    <row r="18" spans="1:11" x14ac:dyDescent="0.2">
      <c r="A18" s="18" t="s">
        <v>12</v>
      </c>
      <c r="B18" s="31">
        <v>9665000</v>
      </c>
      <c r="C18" s="31">
        <v>12039000</v>
      </c>
      <c r="D18" s="31">
        <v>14604000</v>
      </c>
      <c r="E18" s="31">
        <v>16844000</v>
      </c>
      <c r="F18" s="31">
        <v>0</v>
      </c>
      <c r="G18" s="31">
        <f t="shared" si="0"/>
        <v>16844000</v>
      </c>
      <c r="H18" s="31">
        <f>G18</f>
        <v>16844000</v>
      </c>
      <c r="I18" s="31">
        <v>18943000</v>
      </c>
      <c r="J18" s="31">
        <v>19808000</v>
      </c>
      <c r="K18" s="31">
        <v>20522000</v>
      </c>
    </row>
    <row r="19" spans="1:11" x14ac:dyDescent="0.2">
      <c r="A19" s="18" t="s">
        <v>13</v>
      </c>
      <c r="B19" s="31">
        <v>53697000</v>
      </c>
      <c r="C19" s="31">
        <v>69669000</v>
      </c>
      <c r="D19" s="31">
        <v>93810000</v>
      </c>
      <c r="E19" s="31">
        <v>90095000</v>
      </c>
      <c r="F19" s="31">
        <v>0</v>
      </c>
      <c r="G19" s="31">
        <f t="shared" si="0"/>
        <v>90095000</v>
      </c>
      <c r="H19" s="31">
        <f>G19</f>
        <v>90095000</v>
      </c>
      <c r="I19" s="31">
        <v>85891000</v>
      </c>
      <c r="J19" s="31">
        <v>91094000</v>
      </c>
      <c r="K19" s="31">
        <v>95649000</v>
      </c>
    </row>
    <row r="20" spans="1:11" x14ac:dyDescent="0.2">
      <c r="A20" s="18" t="s">
        <v>14</v>
      </c>
      <c r="B20" s="31">
        <v>10453000</v>
      </c>
      <c r="C20" s="31">
        <v>10946000</v>
      </c>
      <c r="D20" s="31">
        <v>9968000</v>
      </c>
      <c r="E20" s="31">
        <v>12578000</v>
      </c>
      <c r="F20" s="31">
        <v>0</v>
      </c>
      <c r="G20" s="31">
        <f>E20</f>
        <v>12578000</v>
      </c>
      <c r="H20" s="31">
        <f>G20</f>
        <v>12578000</v>
      </c>
      <c r="I20" s="31">
        <v>11985000</v>
      </c>
      <c r="J20" s="31">
        <v>12042000</v>
      </c>
      <c r="K20" s="31">
        <v>13867000</v>
      </c>
    </row>
    <row r="21" spans="1:11" ht="12" thickBot="1" x14ac:dyDescent="0.25">
      <c r="A21" s="7" t="s">
        <v>27</v>
      </c>
      <c r="B21" s="10">
        <f>SUM(B5:B20)</f>
        <v>124942000</v>
      </c>
      <c r="C21" s="10">
        <f t="shared" ref="C21:K21" si="2">SUM(C5:C20)</f>
        <v>162262000</v>
      </c>
      <c r="D21" s="10">
        <f t="shared" si="2"/>
        <v>185859000</v>
      </c>
      <c r="E21" s="10">
        <f t="shared" si="2"/>
        <v>215916000</v>
      </c>
      <c r="F21" s="10">
        <f t="shared" si="2"/>
        <v>0</v>
      </c>
      <c r="G21" s="10">
        <f t="shared" si="2"/>
        <v>215916000</v>
      </c>
      <c r="H21" s="10">
        <f t="shared" si="2"/>
        <v>215916000</v>
      </c>
      <c r="I21" s="10">
        <f t="shared" si="2"/>
        <v>206171000</v>
      </c>
      <c r="J21" s="10">
        <f t="shared" si="2"/>
        <v>196776000</v>
      </c>
      <c r="K21" s="10">
        <f t="shared" si="2"/>
        <v>204027000</v>
      </c>
    </row>
    <row r="22" spans="1:11" ht="12" thickTop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</row>
    <row r="48" spans="2:1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1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">
      <c r="A74" s="6" t="s">
        <v>9</v>
      </c>
    </row>
    <row r="75" spans="1:11" x14ac:dyDescent="0.2">
      <c r="A75" s="18" t="s">
        <v>15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4340000</v>
      </c>
      <c r="J75" s="16">
        <v>4557000</v>
      </c>
      <c r="K75" s="16">
        <v>4784000</v>
      </c>
    </row>
    <row r="76" spans="1:11" x14ac:dyDescent="0.2">
      <c r="A76" s="18" t="s">
        <v>16</v>
      </c>
      <c r="B76" s="16"/>
      <c r="C76" s="16"/>
      <c r="D76" s="16"/>
      <c r="E76" s="16"/>
      <c r="F76" s="16"/>
      <c r="G76" s="16"/>
      <c r="H76" s="16"/>
      <c r="I76" s="16">
        <v>0</v>
      </c>
      <c r="J76" s="16">
        <v>0</v>
      </c>
      <c r="K76" s="16">
        <v>0</v>
      </c>
    </row>
    <row r="77" spans="1:11" x14ac:dyDescent="0.2">
      <c r="A77" s="18" t="s">
        <v>17</v>
      </c>
      <c r="B77" s="16">
        <v>2713000</v>
      </c>
      <c r="C77" s="16">
        <v>3396000</v>
      </c>
      <c r="D77" s="16">
        <v>5280000</v>
      </c>
      <c r="E77" s="16">
        <v>3451000</v>
      </c>
      <c r="F77" s="16">
        <v>0</v>
      </c>
      <c r="G77" s="16">
        <f>E77</f>
        <v>3451000</v>
      </c>
      <c r="H77" s="16">
        <f t="shared" ref="H77:H85" si="3">G77</f>
        <v>3451000</v>
      </c>
      <c r="I77" s="16">
        <v>5408000</v>
      </c>
      <c r="J77" s="31">
        <v>5733000</v>
      </c>
      <c r="K77" s="31">
        <v>6134000</v>
      </c>
    </row>
    <row r="78" spans="1:11" x14ac:dyDescent="0.2">
      <c r="A78" s="18" t="s">
        <v>18</v>
      </c>
      <c r="B78" s="16">
        <v>0</v>
      </c>
      <c r="C78" s="16"/>
      <c r="D78" s="16">
        <v>0</v>
      </c>
      <c r="E78" s="16">
        <v>0</v>
      </c>
      <c r="F78" s="16"/>
      <c r="G78" s="16"/>
      <c r="H78" s="16">
        <f t="shared" si="3"/>
        <v>0</v>
      </c>
      <c r="I78" s="16">
        <v>0</v>
      </c>
      <c r="J78" s="31">
        <f>I78*105.3%</f>
        <v>0</v>
      </c>
      <c r="K78" s="31">
        <f>J78*105.5%</f>
        <v>0</v>
      </c>
    </row>
    <row r="79" spans="1:11" x14ac:dyDescent="0.2">
      <c r="A79" s="18" t="s">
        <v>19</v>
      </c>
      <c r="B79" s="16">
        <v>100000</v>
      </c>
      <c r="C79" s="16">
        <v>976000</v>
      </c>
      <c r="D79" s="16">
        <v>1136000</v>
      </c>
      <c r="E79" s="16">
        <v>500000</v>
      </c>
      <c r="F79" s="16">
        <v>0</v>
      </c>
      <c r="G79" s="16">
        <f t="shared" ref="G79:G85" si="4">E79</f>
        <v>500000</v>
      </c>
      <c r="H79" s="16">
        <f t="shared" si="3"/>
        <v>500000</v>
      </c>
      <c r="I79" s="16">
        <v>500000</v>
      </c>
      <c r="J79" s="31">
        <v>525000</v>
      </c>
      <c r="K79" s="31">
        <v>551000</v>
      </c>
    </row>
    <row r="80" spans="1:11" x14ac:dyDescent="0.2">
      <c r="A80" s="18" t="s">
        <v>20</v>
      </c>
      <c r="B80" s="16">
        <v>2290000</v>
      </c>
      <c r="C80" s="16">
        <v>4106000</v>
      </c>
      <c r="D80" s="16">
        <v>3000000</v>
      </c>
      <c r="E80" s="16">
        <v>5451000</v>
      </c>
      <c r="F80" s="16">
        <v>0</v>
      </c>
      <c r="G80" s="16">
        <f t="shared" si="4"/>
        <v>5451000</v>
      </c>
      <c r="H80" s="16">
        <f t="shared" si="3"/>
        <v>5451000</v>
      </c>
      <c r="I80" s="16">
        <v>8069000</v>
      </c>
      <c r="J80" s="31">
        <v>8528000</v>
      </c>
      <c r="K80" s="31">
        <v>9070000</v>
      </c>
    </row>
    <row r="81" spans="1:11" ht="12" thickBot="1" x14ac:dyDescent="0.25">
      <c r="A81" s="20" t="s">
        <v>21</v>
      </c>
      <c r="B81" s="21">
        <v>0</v>
      </c>
      <c r="C81" s="21">
        <v>52000</v>
      </c>
      <c r="D81" s="21">
        <v>142000</v>
      </c>
      <c r="E81" s="21">
        <v>800000</v>
      </c>
      <c r="F81" s="21">
        <v>0</v>
      </c>
      <c r="G81" s="21">
        <f t="shared" si="4"/>
        <v>800000</v>
      </c>
      <c r="H81" s="21">
        <f t="shared" si="3"/>
        <v>800000</v>
      </c>
      <c r="I81" s="21">
        <f>850000-1000</f>
        <v>849000</v>
      </c>
      <c r="J81" s="31">
        <f>893000-2000</f>
        <v>891000</v>
      </c>
      <c r="K81" s="31">
        <f>937000+2000</f>
        <v>939000</v>
      </c>
    </row>
    <row r="82" spans="1:11" x14ac:dyDescent="0.2">
      <c r="A82" s="18" t="s">
        <v>22</v>
      </c>
      <c r="B82" s="16">
        <v>21603000</v>
      </c>
      <c r="C82" s="16">
        <v>18528000</v>
      </c>
      <c r="D82" s="16">
        <v>10172000</v>
      </c>
      <c r="E82" s="16">
        <v>12000000</v>
      </c>
      <c r="F82" s="16">
        <v>0</v>
      </c>
      <c r="G82" s="16">
        <f t="shared" si="4"/>
        <v>12000000</v>
      </c>
      <c r="H82" s="16">
        <f t="shared" si="3"/>
        <v>12000000</v>
      </c>
      <c r="I82" s="16">
        <v>19947000</v>
      </c>
      <c r="J82" s="31">
        <v>20945000</v>
      </c>
      <c r="K82" s="31">
        <v>21992000</v>
      </c>
    </row>
    <row r="83" spans="1:11" x14ac:dyDescent="0.2">
      <c r="A83" s="18" t="s">
        <v>23</v>
      </c>
      <c r="B83" s="16">
        <v>48174000</v>
      </c>
      <c r="C83" s="16">
        <v>55915000</v>
      </c>
      <c r="D83" s="16">
        <f>68105000-142000</f>
        <v>67963000</v>
      </c>
      <c r="E83" s="16">
        <f>41157000+4094000</f>
        <v>45251000</v>
      </c>
      <c r="F83" s="16">
        <v>0</v>
      </c>
      <c r="G83" s="16">
        <f t="shared" si="4"/>
        <v>45251000</v>
      </c>
      <c r="H83" s="16">
        <f t="shared" si="3"/>
        <v>45251000</v>
      </c>
      <c r="I83" s="16">
        <v>19849000</v>
      </c>
      <c r="J83" s="31">
        <v>4863000</v>
      </c>
      <c r="K83" s="31">
        <v>5106000</v>
      </c>
    </row>
    <row r="84" spans="1:11" x14ac:dyDescent="0.2">
      <c r="A84" s="18" t="s">
        <v>24</v>
      </c>
      <c r="B84" s="16">
        <v>24388000</v>
      </c>
      <c r="C84" s="16">
        <v>34788000</v>
      </c>
      <c r="D84" s="16">
        <v>39644000</v>
      </c>
      <c r="E84" s="16">
        <v>40000000</v>
      </c>
      <c r="F84" s="16">
        <v>0</v>
      </c>
      <c r="G84" s="16">
        <f t="shared" si="4"/>
        <v>40000000</v>
      </c>
      <c r="H84" s="16">
        <f t="shared" si="3"/>
        <v>40000000</v>
      </c>
      <c r="I84" s="16">
        <v>36480000</v>
      </c>
      <c r="J84" s="31">
        <v>39033000</v>
      </c>
      <c r="K84" s="31">
        <v>41765000</v>
      </c>
    </row>
    <row r="85" spans="1:11" x14ac:dyDescent="0.2">
      <c r="A85" s="18" t="s">
        <v>25</v>
      </c>
      <c r="B85" s="16">
        <v>32641000</v>
      </c>
      <c r="C85" s="16">
        <v>42249000</v>
      </c>
      <c r="D85" s="16">
        <v>54334000</v>
      </c>
      <c r="E85" s="16">
        <f>78781000</f>
        <v>78781000</v>
      </c>
      <c r="F85" s="16">
        <v>0</v>
      </c>
      <c r="G85" s="16">
        <f t="shared" si="4"/>
        <v>78781000</v>
      </c>
      <c r="H85" s="16">
        <f t="shared" si="3"/>
        <v>78781000</v>
      </c>
      <c r="I85" s="16">
        <v>81279000</v>
      </c>
      <c r="J85" s="31">
        <v>81892000</v>
      </c>
      <c r="K85" s="31">
        <v>75332000</v>
      </c>
    </row>
    <row r="86" spans="1:11" ht="12" thickBot="1" x14ac:dyDescent="0.25">
      <c r="A86" s="7" t="s">
        <v>26</v>
      </c>
      <c r="B86" s="10">
        <f>SUM(B75:B85)</f>
        <v>131909000</v>
      </c>
      <c r="C86" s="10">
        <f t="shared" ref="C86:K86" si="5">SUM(C75:C85)</f>
        <v>160010000</v>
      </c>
      <c r="D86" s="10">
        <f t="shared" si="5"/>
        <v>181671000</v>
      </c>
      <c r="E86" s="10">
        <f t="shared" si="5"/>
        <v>186234000</v>
      </c>
      <c r="F86" s="10">
        <f t="shared" si="5"/>
        <v>0</v>
      </c>
      <c r="G86" s="10">
        <f t="shared" si="5"/>
        <v>186234000</v>
      </c>
      <c r="H86" s="10">
        <f t="shared" si="5"/>
        <v>186234000</v>
      </c>
      <c r="I86" s="10">
        <f t="shared" si="5"/>
        <v>176721000</v>
      </c>
      <c r="J86" s="10">
        <f t="shared" si="5"/>
        <v>166967000</v>
      </c>
      <c r="K86" s="10">
        <f t="shared" si="5"/>
        <v>165673000</v>
      </c>
    </row>
    <row r="87" spans="1:11" ht="12" thickTop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2:1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2:1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2:1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2:1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2:1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2:1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2:1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2:1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2:1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2:1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2:1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2:1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2:1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2:1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2:1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2:1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2:1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2:1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2:1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2:1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2:1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2:1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2:1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2:1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2:1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2:1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2:1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2:1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2:1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2:1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2:1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2:1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x14ac:dyDescent="0.2">
      <c r="A139" s="6" t="s">
        <v>59</v>
      </c>
      <c r="B139" s="9">
        <f>SUM(B140:B146)</f>
        <v>131168000</v>
      </c>
      <c r="C139" s="9">
        <f t="shared" ref="C139:K139" si="6">SUM(C140:C146)</f>
        <v>150086000</v>
      </c>
      <c r="D139" s="9">
        <f t="shared" si="6"/>
        <v>171255000</v>
      </c>
      <c r="E139" s="9">
        <f t="shared" si="6"/>
        <v>199073000</v>
      </c>
      <c r="F139" s="9">
        <f t="shared" si="6"/>
        <v>0</v>
      </c>
      <c r="G139" s="9">
        <f t="shared" si="6"/>
        <v>199073000</v>
      </c>
      <c r="H139" s="9">
        <f t="shared" si="6"/>
        <v>199073000</v>
      </c>
      <c r="I139" s="9">
        <f t="shared" si="6"/>
        <v>206171000</v>
      </c>
      <c r="J139" s="9">
        <f t="shared" si="6"/>
        <v>186968000</v>
      </c>
      <c r="K139" s="9">
        <f t="shared" si="6"/>
        <v>204027000</v>
      </c>
    </row>
    <row r="140" spans="1:11" x14ac:dyDescent="0.2">
      <c r="A140" s="18" t="s">
        <v>113</v>
      </c>
      <c r="B140" s="16">
        <v>11331000</v>
      </c>
      <c r="C140" s="16">
        <v>10946000</v>
      </c>
      <c r="D140" s="16">
        <v>10213000</v>
      </c>
      <c r="E140" s="16">
        <v>37506000</v>
      </c>
      <c r="F140" s="16">
        <v>0</v>
      </c>
      <c r="G140" s="16">
        <f>E140</f>
        <v>37506000</v>
      </c>
      <c r="H140" s="16">
        <f>G140</f>
        <v>37506000</v>
      </c>
      <c r="I140" s="16">
        <f>43817000+5834000</f>
        <v>49651000</v>
      </c>
      <c r="J140" s="31">
        <f>22042000+67000</f>
        <v>22109000</v>
      </c>
      <c r="K140" s="31">
        <f>23867000+89000</f>
        <v>23956000</v>
      </c>
    </row>
    <row r="141" spans="1:11" x14ac:dyDescent="0.2">
      <c r="A141" s="18" t="s">
        <v>114</v>
      </c>
      <c r="B141" s="16">
        <f>27981000+735000</f>
        <v>28716000</v>
      </c>
      <c r="C141" s="16">
        <f>33287000+790000</f>
        <v>34077000</v>
      </c>
      <c r="D141" s="16">
        <f>34137000+800000-244000</f>
        <v>34693000</v>
      </c>
      <c r="E141" s="16">
        <f>38620000+890000</f>
        <v>39510000</v>
      </c>
      <c r="F141" s="16">
        <v>0</v>
      </c>
      <c r="G141" s="16">
        <f t="shared" ref="G141:G146" si="7">E141</f>
        <v>39510000</v>
      </c>
      <c r="H141" s="16">
        <f t="shared" ref="H141:H146" si="8">G141</f>
        <v>39510000</v>
      </c>
      <c r="I141" s="16">
        <f>37736000+890000</f>
        <v>38626000</v>
      </c>
      <c r="J141" s="31">
        <f>40862000+934000</f>
        <v>41796000</v>
      </c>
      <c r="K141" s="31">
        <f>50002000+967000</f>
        <v>50969000</v>
      </c>
    </row>
    <row r="142" spans="1:11" x14ac:dyDescent="0.2">
      <c r="A142" s="18" t="s">
        <v>115</v>
      </c>
      <c r="B142" s="16">
        <f>107000+13617000</f>
        <v>13724000</v>
      </c>
      <c r="C142" s="16">
        <f>89000+2923000</f>
        <v>3012000</v>
      </c>
      <c r="D142" s="16">
        <f>89000+2947000</f>
        <v>3036000</v>
      </c>
      <c r="E142" s="16">
        <v>3298000</v>
      </c>
      <c r="F142" s="16">
        <v>0</v>
      </c>
      <c r="G142" s="16">
        <f t="shared" si="7"/>
        <v>3298000</v>
      </c>
      <c r="H142" s="16">
        <f t="shared" si="8"/>
        <v>3298000</v>
      </c>
      <c r="I142" s="16">
        <v>3298000</v>
      </c>
      <c r="J142" s="31">
        <f>103000+3360000</f>
        <v>3463000</v>
      </c>
      <c r="K142" s="31">
        <f>108000+3528000</f>
        <v>3636000</v>
      </c>
    </row>
    <row r="143" spans="1:11" x14ac:dyDescent="0.2">
      <c r="A143" s="18" t="s">
        <v>116</v>
      </c>
      <c r="B143" s="16">
        <v>0</v>
      </c>
      <c r="C143" s="16">
        <v>0</v>
      </c>
      <c r="D143" s="16">
        <v>0</v>
      </c>
      <c r="E143" s="16">
        <v>0</v>
      </c>
      <c r="F143" s="16">
        <v>0</v>
      </c>
      <c r="G143" s="16">
        <f t="shared" si="7"/>
        <v>0</v>
      </c>
      <c r="H143" s="16">
        <f t="shared" si="8"/>
        <v>0</v>
      </c>
      <c r="I143" s="16">
        <v>0</v>
      </c>
      <c r="J143" s="31">
        <v>0</v>
      </c>
      <c r="K143" s="31">
        <f>J143*105.5%</f>
        <v>0</v>
      </c>
    </row>
    <row r="144" spans="1:11" x14ac:dyDescent="0.2">
      <c r="A144" s="18" t="s">
        <v>52</v>
      </c>
      <c r="B144" s="16">
        <v>5036000</v>
      </c>
      <c r="C144" s="16">
        <v>6555000</v>
      </c>
      <c r="D144" s="16">
        <v>7660000</v>
      </c>
      <c r="E144" s="16">
        <v>7449000</v>
      </c>
      <c r="F144" s="16">
        <v>0</v>
      </c>
      <c r="G144" s="16">
        <f t="shared" si="7"/>
        <v>7449000</v>
      </c>
      <c r="H144" s="16">
        <f t="shared" si="8"/>
        <v>7449000</v>
      </c>
      <c r="I144" s="16">
        <v>8655000</v>
      </c>
      <c r="J144" s="31">
        <v>8655000</v>
      </c>
      <c r="K144" s="31">
        <v>9250000</v>
      </c>
    </row>
    <row r="145" spans="1:11" x14ac:dyDescent="0.2">
      <c r="A145" s="18" t="s">
        <v>2</v>
      </c>
      <c r="B145" s="16">
        <v>44082000</v>
      </c>
      <c r="C145" s="16">
        <v>69669000</v>
      </c>
      <c r="D145" s="16">
        <v>93810000</v>
      </c>
      <c r="E145" s="16">
        <v>90095000</v>
      </c>
      <c r="F145" s="16">
        <v>0</v>
      </c>
      <c r="G145" s="16">
        <f t="shared" si="7"/>
        <v>90095000</v>
      </c>
      <c r="H145" s="16">
        <f t="shared" si="8"/>
        <v>90095000</v>
      </c>
      <c r="I145" s="16">
        <v>85891000</v>
      </c>
      <c r="J145" s="31">
        <v>91094000</v>
      </c>
      <c r="K145" s="31">
        <v>95649000</v>
      </c>
    </row>
    <row r="146" spans="1:11" x14ac:dyDescent="0.2">
      <c r="A146" s="18" t="s">
        <v>117</v>
      </c>
      <c r="B146" s="16">
        <v>28279000</v>
      </c>
      <c r="C146" s="16">
        <v>25827000</v>
      </c>
      <c r="D146" s="16">
        <v>21843000</v>
      </c>
      <c r="E146" s="16">
        <v>21215000</v>
      </c>
      <c r="F146" s="16">
        <v>0</v>
      </c>
      <c r="G146" s="16">
        <f t="shared" si="7"/>
        <v>21215000</v>
      </c>
      <c r="H146" s="16">
        <f t="shared" si="8"/>
        <v>21215000</v>
      </c>
      <c r="I146" s="16">
        <v>20050000</v>
      </c>
      <c r="J146" s="31">
        <v>19851000</v>
      </c>
      <c r="K146" s="31">
        <v>20567000</v>
      </c>
    </row>
    <row r="147" spans="1:1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3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3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3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3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3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3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3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3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3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3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3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3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3" x14ac:dyDescent="0.2">
      <c r="A173" s="6" t="s">
        <v>60</v>
      </c>
      <c r="B173" s="9">
        <f t="shared" ref="B173:G173" si="9">SUM(B174:B180)</f>
        <v>130434000</v>
      </c>
      <c r="C173" s="9">
        <f t="shared" si="9"/>
        <v>163064000</v>
      </c>
      <c r="D173" s="9">
        <f t="shared" si="9"/>
        <v>181671000</v>
      </c>
      <c r="E173" s="9">
        <f t="shared" si="9"/>
        <v>186233000</v>
      </c>
      <c r="F173" s="9">
        <f t="shared" si="9"/>
        <v>0</v>
      </c>
      <c r="G173" s="9">
        <f t="shared" si="9"/>
        <v>186233000</v>
      </c>
      <c r="H173" s="9">
        <f>G173</f>
        <v>186233000</v>
      </c>
      <c r="I173" s="9">
        <f>SUM(I174:I180)</f>
        <v>195664000</v>
      </c>
      <c r="J173" s="9">
        <f>SUM(J174:J180)</f>
        <v>176968000</v>
      </c>
      <c r="K173" s="9">
        <f>SUM(K174:K180)</f>
        <v>186195000</v>
      </c>
    </row>
    <row r="174" spans="1:13" x14ac:dyDescent="0.2">
      <c r="A174" s="18" t="s">
        <v>113</v>
      </c>
      <c r="B174" s="16">
        <v>21239000</v>
      </c>
      <c r="C174" s="16">
        <v>24857000</v>
      </c>
      <c r="D174" s="16">
        <f>26615000+6118000</f>
        <v>32733000</v>
      </c>
      <c r="E174" s="16">
        <v>30808000</v>
      </c>
      <c r="F174" s="16">
        <v>0</v>
      </c>
      <c r="G174" s="16">
        <f>E174</f>
        <v>30808000</v>
      </c>
      <c r="H174" s="16">
        <f>G174</f>
        <v>30808000</v>
      </c>
      <c r="I174" s="16">
        <v>34249000</v>
      </c>
      <c r="J174" s="31">
        <v>27797000</v>
      </c>
      <c r="K174" s="31">
        <v>27774000</v>
      </c>
      <c r="M174" s="41"/>
    </row>
    <row r="175" spans="1:13" x14ac:dyDescent="0.2">
      <c r="A175" s="18" t="s">
        <v>114</v>
      </c>
      <c r="B175" s="16">
        <f>34374000+10142000</f>
        <v>44516000</v>
      </c>
      <c r="C175" s="16">
        <f>30948000+11560000</f>
        <v>42508000</v>
      </c>
      <c r="D175" s="16">
        <f>10304000+34537000</f>
        <v>44841000</v>
      </c>
      <c r="E175" s="16">
        <f>10992000+14782000+23053000</f>
        <v>48827000</v>
      </c>
      <c r="F175" s="16"/>
      <c r="G175" s="16">
        <f t="shared" ref="G175:G180" si="10">E175</f>
        <v>48827000</v>
      </c>
      <c r="H175" s="16">
        <f t="shared" ref="H175:H180" si="11">G175</f>
        <v>48827000</v>
      </c>
      <c r="I175" s="16">
        <f>10028000+26798000+20125000</f>
        <v>56951000</v>
      </c>
      <c r="J175" s="31">
        <f>10629000+19597000+20124000</f>
        <v>50350000</v>
      </c>
      <c r="K175" s="31">
        <f>11161000+20559000+20450000</f>
        <v>52170000</v>
      </c>
      <c r="M175" s="42"/>
    </row>
    <row r="176" spans="1:13" x14ac:dyDescent="0.2">
      <c r="A176" s="18" t="s">
        <v>115</v>
      </c>
      <c r="B176" s="16">
        <f>1292000+400000+146000+459000</f>
        <v>2297000</v>
      </c>
      <c r="C176" s="16">
        <f>1306000+518000+351000</f>
        <v>2175000</v>
      </c>
      <c r="D176" s="16">
        <v>11645000</v>
      </c>
      <c r="E176" s="16">
        <v>11380000</v>
      </c>
      <c r="F176" s="16"/>
      <c r="G176" s="16">
        <f t="shared" si="10"/>
        <v>11380000</v>
      </c>
      <c r="H176" s="16">
        <f t="shared" si="11"/>
        <v>11380000</v>
      </c>
      <c r="I176" s="16">
        <v>12350000</v>
      </c>
      <c r="J176" s="31">
        <v>12808000</v>
      </c>
      <c r="K176" s="31">
        <v>13137000</v>
      </c>
      <c r="M176" s="42"/>
    </row>
    <row r="177" spans="1:13" x14ac:dyDescent="0.2">
      <c r="A177" s="18" t="s">
        <v>116</v>
      </c>
      <c r="B177" s="16">
        <v>2499000</v>
      </c>
      <c r="C177" s="16">
        <v>3285000</v>
      </c>
      <c r="D177" s="16">
        <v>3391000</v>
      </c>
      <c r="E177" s="16">
        <v>3547000</v>
      </c>
      <c r="F177" s="16"/>
      <c r="G177" s="16">
        <f t="shared" si="10"/>
        <v>3547000</v>
      </c>
      <c r="H177" s="16">
        <f t="shared" si="11"/>
        <v>3547000</v>
      </c>
      <c r="I177" s="16">
        <v>3547000</v>
      </c>
      <c r="J177" s="31">
        <v>3725000</v>
      </c>
      <c r="K177" s="31">
        <v>3911000</v>
      </c>
      <c r="M177" s="42"/>
    </row>
    <row r="178" spans="1:13" x14ac:dyDescent="0.2">
      <c r="A178" s="18" t="s">
        <v>52</v>
      </c>
      <c r="B178" s="16">
        <v>6600000</v>
      </c>
      <c r="C178" s="16">
        <v>7402000</v>
      </c>
      <c r="D178" s="16">
        <v>13221000</v>
      </c>
      <c r="E178" s="16">
        <v>13221000</v>
      </c>
      <c r="F178" s="16"/>
      <c r="G178" s="16">
        <f t="shared" si="10"/>
        <v>13221000</v>
      </c>
      <c r="H178" s="16">
        <f t="shared" si="11"/>
        <v>13221000</v>
      </c>
      <c r="I178" s="16">
        <v>8894000</v>
      </c>
      <c r="J178" s="31">
        <v>9339000</v>
      </c>
      <c r="K178" s="31">
        <v>9806000</v>
      </c>
    </row>
    <row r="179" spans="1:13" x14ac:dyDescent="0.2">
      <c r="A179" s="18" t="s">
        <v>2</v>
      </c>
      <c r="B179" s="16">
        <v>30105000</v>
      </c>
      <c r="C179" s="16">
        <v>37490000</v>
      </c>
      <c r="D179" s="16">
        <f>54201000+526000</f>
        <v>54727000</v>
      </c>
      <c r="E179" s="16">
        <v>50858000</v>
      </c>
      <c r="F179" s="16"/>
      <c r="G179" s="16">
        <f t="shared" si="10"/>
        <v>50858000</v>
      </c>
      <c r="H179" s="16">
        <f t="shared" si="11"/>
        <v>50858000</v>
      </c>
      <c r="I179" s="16">
        <v>50858000</v>
      </c>
      <c r="J179" s="31">
        <v>53401000</v>
      </c>
      <c r="K179" s="31">
        <v>56071000</v>
      </c>
    </row>
    <row r="180" spans="1:13" x14ac:dyDescent="0.2">
      <c r="A180" s="18" t="s">
        <v>117</v>
      </c>
      <c r="B180" s="16">
        <v>23178000</v>
      </c>
      <c r="C180" s="16">
        <v>45347000</v>
      </c>
      <c r="D180" s="16">
        <f>6981000+2568000+11000+1826000+264000+9465000-2000</f>
        <v>21113000</v>
      </c>
      <c r="E180" s="16">
        <f>18543000+9049000</f>
        <v>27592000</v>
      </c>
      <c r="F180" s="16"/>
      <c r="G180" s="16">
        <f t="shared" si="10"/>
        <v>27592000</v>
      </c>
      <c r="H180" s="16">
        <f t="shared" si="11"/>
        <v>27592000</v>
      </c>
      <c r="I180" s="16">
        <f>43650000-14835000</f>
        <v>28815000</v>
      </c>
      <c r="J180" s="31">
        <f>45832000-26284000</f>
        <v>19548000</v>
      </c>
      <c r="K180" s="31">
        <f>48124000-24798000</f>
        <v>23326000</v>
      </c>
    </row>
    <row r="181" spans="1:13" x14ac:dyDescent="0.2">
      <c r="B181" s="5"/>
      <c r="C181" s="5"/>
      <c r="D181" s="5"/>
      <c r="E181" s="5"/>
      <c r="F181" s="5"/>
      <c r="G181" s="5"/>
      <c r="H181" s="5"/>
      <c r="I181" s="5">
        <v>0</v>
      </c>
      <c r="J181" s="5">
        <f>I181*105.3%</f>
        <v>0</v>
      </c>
      <c r="K181" s="5">
        <f>J181*105.5%</f>
        <v>0</v>
      </c>
    </row>
    <row r="182" spans="1:13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3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3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3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3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3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3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3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3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3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3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x14ac:dyDescent="0.2">
      <c r="B202" s="5"/>
      <c r="C202" s="5"/>
      <c r="D202" s="5"/>
      <c r="E202" s="5"/>
      <c r="F202" s="5"/>
      <c r="G202" s="5"/>
      <c r="H202" s="5"/>
      <c r="I202" s="5"/>
      <c r="J202" s="5">
        <v>0</v>
      </c>
      <c r="K202" s="5"/>
    </row>
    <row r="203" spans="1:11" x14ac:dyDescent="0.2">
      <c r="B203" s="5"/>
      <c r="C203" s="5"/>
      <c r="D203" s="5"/>
      <c r="E203" s="5"/>
      <c r="F203" s="5"/>
      <c r="G203" s="5"/>
      <c r="H203" s="5"/>
      <c r="I203" s="5"/>
      <c r="J203" s="5">
        <v>0</v>
      </c>
      <c r="K203" s="5"/>
    </row>
    <row r="204" spans="1:11" x14ac:dyDescent="0.2">
      <c r="B204" s="5"/>
      <c r="C204" s="5"/>
      <c r="D204" s="5"/>
      <c r="E204" s="5"/>
      <c r="F204" s="5"/>
      <c r="G204" s="5"/>
      <c r="H204" s="5"/>
      <c r="I204" s="5"/>
      <c r="J204" s="5">
        <v>0</v>
      </c>
      <c r="K204" s="5"/>
    </row>
    <row r="205" spans="1:11" x14ac:dyDescent="0.2">
      <c r="B205" s="5"/>
      <c r="C205" s="5"/>
      <c r="D205" s="5"/>
      <c r="E205" s="5"/>
      <c r="F205" s="5"/>
      <c r="G205" s="5"/>
      <c r="H205" s="5"/>
      <c r="I205" s="5"/>
      <c r="J205" s="5">
        <v>0</v>
      </c>
      <c r="K205" s="5"/>
    </row>
    <row r="206" spans="1:11" x14ac:dyDescent="0.2">
      <c r="B206" s="5"/>
      <c r="C206" s="5"/>
      <c r="D206" s="5"/>
      <c r="E206" s="5"/>
      <c r="F206" s="5"/>
      <c r="G206" s="5"/>
      <c r="H206" s="5"/>
      <c r="I206" s="5"/>
      <c r="J206" s="5">
        <v>0</v>
      </c>
      <c r="K206" s="5"/>
    </row>
    <row r="207" spans="1:11" x14ac:dyDescent="0.2">
      <c r="A207" s="6" t="s">
        <v>57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">
      <c r="A208" s="18" t="s">
        <v>45</v>
      </c>
      <c r="B208" s="16">
        <v>735000</v>
      </c>
      <c r="C208" s="16">
        <v>790000</v>
      </c>
      <c r="D208" s="16">
        <v>800000</v>
      </c>
      <c r="E208" s="16">
        <v>890000</v>
      </c>
      <c r="F208" s="16"/>
      <c r="G208" s="16">
        <f>E208</f>
        <v>890000</v>
      </c>
      <c r="H208" s="16">
        <f>G208</f>
        <v>890000</v>
      </c>
      <c r="I208" s="16">
        <v>33391000</v>
      </c>
      <c r="J208" s="16">
        <v>10967000</v>
      </c>
      <c r="K208" s="16">
        <v>11018000</v>
      </c>
    </row>
    <row r="209" spans="1:25" x14ac:dyDescent="0.2">
      <c r="A209" s="18" t="s">
        <v>51</v>
      </c>
      <c r="B209" s="16"/>
      <c r="C209" s="16"/>
      <c r="D209" s="16"/>
      <c r="E209" s="16"/>
      <c r="F209" s="16"/>
      <c r="G209" s="16">
        <f t="shared" ref="G209:G222" si="12">E209</f>
        <v>0</v>
      </c>
      <c r="H209" s="16">
        <f t="shared" ref="H209:H222" si="13">G209</f>
        <v>0</v>
      </c>
      <c r="I209" s="16"/>
      <c r="J209" s="16"/>
      <c r="K209" s="16"/>
    </row>
    <row r="210" spans="1:25" x14ac:dyDescent="0.2">
      <c r="A210" s="18" t="s">
        <v>53</v>
      </c>
      <c r="B210" s="16">
        <v>0</v>
      </c>
      <c r="C210" s="16">
        <v>0</v>
      </c>
      <c r="D210" s="16">
        <v>0</v>
      </c>
      <c r="E210" s="16">
        <v>0</v>
      </c>
      <c r="F210" s="16"/>
      <c r="G210" s="16">
        <f t="shared" si="12"/>
        <v>0</v>
      </c>
      <c r="H210" s="16">
        <f t="shared" si="13"/>
        <v>0</v>
      </c>
      <c r="I210" s="16">
        <v>0</v>
      </c>
      <c r="J210" s="16">
        <v>0</v>
      </c>
      <c r="K210" s="16">
        <v>0</v>
      </c>
    </row>
    <row r="211" spans="1:25" x14ac:dyDescent="0.2">
      <c r="A211" s="18" t="s">
        <v>44</v>
      </c>
      <c r="B211" s="16">
        <v>11331000</v>
      </c>
      <c r="C211" s="16">
        <v>10946000</v>
      </c>
      <c r="D211" s="16">
        <v>10213000</v>
      </c>
      <c r="E211" s="16">
        <v>37507000</v>
      </c>
      <c r="F211" s="16"/>
      <c r="G211" s="16">
        <f t="shared" si="12"/>
        <v>37507000</v>
      </c>
      <c r="H211" s="16">
        <f t="shared" si="13"/>
        <v>37507000</v>
      </c>
      <c r="I211" s="16">
        <v>11985000</v>
      </c>
      <c r="J211" s="31">
        <v>12042000</v>
      </c>
      <c r="K211" s="31">
        <v>13867000</v>
      </c>
    </row>
    <row r="212" spans="1:25" x14ac:dyDescent="0.2">
      <c r="A212" s="18" t="s">
        <v>50</v>
      </c>
      <c r="B212" s="16"/>
      <c r="C212" s="16"/>
      <c r="D212" s="16"/>
      <c r="E212" s="16"/>
      <c r="F212" s="16"/>
      <c r="G212" s="16">
        <f t="shared" si="12"/>
        <v>0</v>
      </c>
      <c r="H212" s="16">
        <f t="shared" si="13"/>
        <v>0</v>
      </c>
      <c r="I212" s="16"/>
      <c r="J212" s="31"/>
      <c r="K212" s="31"/>
    </row>
    <row r="213" spans="1:25" x14ac:dyDescent="0.2">
      <c r="A213" s="18" t="s">
        <v>47</v>
      </c>
      <c r="B213" s="16"/>
      <c r="C213" s="16"/>
      <c r="D213" s="16"/>
      <c r="E213" s="16"/>
      <c r="F213" s="16"/>
      <c r="G213" s="16">
        <f t="shared" si="12"/>
        <v>0</v>
      </c>
      <c r="H213" s="16">
        <f t="shared" si="13"/>
        <v>0</v>
      </c>
      <c r="I213" s="16"/>
      <c r="J213" s="31"/>
      <c r="K213" s="31"/>
    </row>
    <row r="214" spans="1:25" x14ac:dyDescent="0.2">
      <c r="A214" s="18" t="s">
        <v>48</v>
      </c>
      <c r="B214" s="16">
        <f>107000+13617000</f>
        <v>13724000</v>
      </c>
      <c r="C214" s="16">
        <f>89000+2924000</f>
        <v>3013000</v>
      </c>
      <c r="D214" s="16">
        <f>89000+2947000</f>
        <v>3036000</v>
      </c>
      <c r="E214" s="16">
        <f>89000+2947000</f>
        <v>3036000</v>
      </c>
      <c r="F214" s="16"/>
      <c r="G214" s="16">
        <f t="shared" si="12"/>
        <v>3036000</v>
      </c>
      <c r="H214" s="16">
        <f t="shared" si="13"/>
        <v>3036000</v>
      </c>
      <c r="I214" s="16">
        <f>982000+6286000</f>
        <v>7268000</v>
      </c>
      <c r="J214" s="31">
        <f>103000+6599000</f>
        <v>6702000</v>
      </c>
      <c r="K214" s="31">
        <f>108000+6929000</f>
        <v>7037000</v>
      </c>
    </row>
    <row r="215" spans="1:25" x14ac:dyDescent="0.2">
      <c r="A215" s="18" t="s">
        <v>54</v>
      </c>
      <c r="B215" s="16">
        <v>13617000</v>
      </c>
      <c r="C215" s="16">
        <v>2923000</v>
      </c>
      <c r="D215" s="16">
        <v>2947000</v>
      </c>
      <c r="E215" s="16">
        <v>3200000</v>
      </c>
      <c r="F215" s="16"/>
      <c r="G215" s="16">
        <f t="shared" si="12"/>
        <v>3200000</v>
      </c>
      <c r="H215" s="16">
        <f t="shared" si="13"/>
        <v>3200000</v>
      </c>
      <c r="I215" s="16">
        <v>3200000</v>
      </c>
      <c r="J215" s="31">
        <v>3392000</v>
      </c>
      <c r="K215" s="31">
        <v>3562000</v>
      </c>
      <c r="P215" s="37">
        <f t="shared" ref="P215:Y215" si="14">B216+B208+B211+B212+B214+B217+B219+B221+B222</f>
        <v>131168000</v>
      </c>
      <c r="Q215" s="37">
        <f t="shared" si="14"/>
        <v>150086000</v>
      </c>
      <c r="R215" s="37">
        <f t="shared" si="14"/>
        <v>171499000</v>
      </c>
      <c r="S215" s="37">
        <f t="shared" si="14"/>
        <v>199073000</v>
      </c>
      <c r="T215" s="37">
        <f t="shared" si="14"/>
        <v>0</v>
      </c>
      <c r="U215" s="37">
        <f t="shared" si="14"/>
        <v>199073000</v>
      </c>
      <c r="V215" s="37">
        <f t="shared" si="14"/>
        <v>199073000</v>
      </c>
      <c r="W215" s="37">
        <f t="shared" si="14"/>
        <v>206171000</v>
      </c>
      <c r="X215" s="37">
        <f t="shared" si="14"/>
        <v>186968000</v>
      </c>
      <c r="Y215" s="37">
        <f t="shared" si="14"/>
        <v>204027000</v>
      </c>
    </row>
    <row r="216" spans="1:25" x14ac:dyDescent="0.2">
      <c r="A216" s="18" t="s">
        <v>118</v>
      </c>
      <c r="B216" s="16"/>
      <c r="C216" s="16"/>
      <c r="D216" s="16"/>
      <c r="E216" s="16"/>
      <c r="F216" s="16"/>
      <c r="G216" s="16">
        <f t="shared" si="12"/>
        <v>0</v>
      </c>
      <c r="H216" s="16">
        <f t="shared" si="13"/>
        <v>0</v>
      </c>
      <c r="I216" s="16"/>
      <c r="J216" s="31"/>
      <c r="K216" s="31"/>
    </row>
    <row r="217" spans="1:25" x14ac:dyDescent="0.2">
      <c r="A217" s="18" t="s">
        <v>46</v>
      </c>
      <c r="B217" s="16">
        <v>28279000</v>
      </c>
      <c r="C217" s="16">
        <v>25826000</v>
      </c>
      <c r="D217" s="16">
        <v>21843000</v>
      </c>
      <c r="E217" s="16">
        <v>18129000</v>
      </c>
      <c r="F217" s="16"/>
      <c r="G217" s="16">
        <f t="shared" si="12"/>
        <v>18129000</v>
      </c>
      <c r="H217" s="16">
        <f t="shared" si="13"/>
        <v>18129000</v>
      </c>
      <c r="I217" s="16">
        <v>20010000</v>
      </c>
      <c r="J217" s="31">
        <v>19808000</v>
      </c>
      <c r="K217" s="31">
        <v>20522000</v>
      </c>
    </row>
    <row r="218" spans="1:25" x14ac:dyDescent="0.2">
      <c r="A218" s="18" t="s">
        <v>8</v>
      </c>
      <c r="B218" s="16"/>
      <c r="C218" s="16"/>
      <c r="D218" s="16"/>
      <c r="E218" s="16"/>
      <c r="F218" s="16"/>
      <c r="G218" s="16">
        <f t="shared" si="12"/>
        <v>0</v>
      </c>
      <c r="H218" s="16">
        <f t="shared" si="13"/>
        <v>0</v>
      </c>
      <c r="I218" s="16"/>
      <c r="J218" s="31"/>
      <c r="K218" s="31"/>
    </row>
    <row r="219" spans="1:25" x14ac:dyDescent="0.2">
      <c r="A219" s="18" t="s">
        <v>52</v>
      </c>
      <c r="B219" s="16">
        <v>5036000</v>
      </c>
      <c r="C219" s="16">
        <v>6555000</v>
      </c>
      <c r="D219" s="16">
        <v>7660000</v>
      </c>
      <c r="E219" s="16">
        <v>7449000</v>
      </c>
      <c r="F219" s="16"/>
      <c r="G219" s="16">
        <f t="shared" ref="G219" si="15">E219</f>
        <v>7449000</v>
      </c>
      <c r="H219" s="16">
        <f t="shared" si="13"/>
        <v>7449000</v>
      </c>
      <c r="I219" s="16">
        <v>8655000</v>
      </c>
      <c r="J219" s="16">
        <v>8655000</v>
      </c>
      <c r="K219" s="16">
        <v>9250000</v>
      </c>
    </row>
    <row r="220" spans="1:25" x14ac:dyDescent="0.2">
      <c r="A220" s="18" t="s">
        <v>55</v>
      </c>
      <c r="B220" s="16"/>
      <c r="C220" s="16"/>
      <c r="D220" s="16"/>
      <c r="E220" s="16"/>
      <c r="F220" s="16"/>
      <c r="G220" s="16">
        <f t="shared" si="12"/>
        <v>0</v>
      </c>
      <c r="H220" s="16">
        <f t="shared" si="13"/>
        <v>0</v>
      </c>
      <c r="I220" s="16"/>
      <c r="J220" s="31"/>
      <c r="K220" s="31"/>
    </row>
    <row r="221" spans="1:25" x14ac:dyDescent="0.2">
      <c r="A221" s="18" t="s">
        <v>2</v>
      </c>
      <c r="B221" s="16">
        <v>44082000</v>
      </c>
      <c r="C221" s="16">
        <v>69669000</v>
      </c>
      <c r="D221" s="16">
        <v>93810000</v>
      </c>
      <c r="E221" s="16">
        <f>90095000+4231000</f>
        <v>94326000</v>
      </c>
      <c r="F221" s="16"/>
      <c r="G221" s="16">
        <f t="shared" si="12"/>
        <v>94326000</v>
      </c>
      <c r="H221" s="16">
        <f t="shared" si="13"/>
        <v>94326000</v>
      </c>
      <c r="I221" s="16">
        <f>85891000-3930000</f>
        <v>81961000</v>
      </c>
      <c r="J221" s="31">
        <f>91094000-3162000</f>
        <v>87932000</v>
      </c>
      <c r="K221" s="31">
        <f>95649000-3318000</f>
        <v>92331000</v>
      </c>
    </row>
    <row r="222" spans="1:25" x14ac:dyDescent="0.2">
      <c r="A222" s="18" t="s">
        <v>56</v>
      </c>
      <c r="B222" s="16">
        <v>27981000</v>
      </c>
      <c r="C222" s="16">
        <v>33287000</v>
      </c>
      <c r="D222" s="16">
        <v>34137000</v>
      </c>
      <c r="E222" s="16">
        <v>37736000</v>
      </c>
      <c r="F222" s="16"/>
      <c r="G222" s="16">
        <f t="shared" si="12"/>
        <v>37736000</v>
      </c>
      <c r="H222" s="16">
        <f t="shared" si="13"/>
        <v>37736000</v>
      </c>
      <c r="I222" s="16">
        <v>42901000</v>
      </c>
      <c r="J222" s="31">
        <v>40862000</v>
      </c>
      <c r="K222" s="31">
        <v>50002000</v>
      </c>
    </row>
    <row r="223" spans="1:25" x14ac:dyDescent="0.2">
      <c r="B223" s="5"/>
      <c r="C223" s="5"/>
      <c r="D223" s="5"/>
      <c r="E223" s="5"/>
      <c r="F223" s="5"/>
      <c r="G223" s="5"/>
      <c r="I223" s="5"/>
      <c r="J223" s="5"/>
      <c r="K223" s="5"/>
    </row>
    <row r="224" spans="1:25" x14ac:dyDescent="0.2">
      <c r="B224" s="5"/>
      <c r="C224" s="5"/>
      <c r="D224" s="5"/>
      <c r="E224" s="5"/>
      <c r="F224" s="5"/>
      <c r="G224" s="5"/>
      <c r="I224" s="5"/>
      <c r="J224" s="5"/>
      <c r="K224" s="5"/>
    </row>
    <row r="225" spans="2:11" x14ac:dyDescent="0.2">
      <c r="B225" s="5"/>
      <c r="C225" s="5"/>
      <c r="D225" s="5"/>
      <c r="E225" s="5"/>
      <c r="F225" s="5"/>
      <c r="G225" s="5"/>
      <c r="I225" s="5"/>
      <c r="J225" s="5"/>
      <c r="K225" s="5"/>
    </row>
    <row r="226" spans="2:11" x14ac:dyDescent="0.2">
      <c r="B226" s="5"/>
      <c r="C226" s="5"/>
      <c r="D226" s="5"/>
      <c r="E226" s="5"/>
      <c r="F226" s="5"/>
      <c r="G226" s="5"/>
      <c r="I226" s="5"/>
      <c r="J226" s="5"/>
      <c r="K226" s="5"/>
    </row>
    <row r="227" spans="2:11" x14ac:dyDescent="0.2">
      <c r="B227" s="5"/>
      <c r="C227" s="5"/>
      <c r="D227" s="5"/>
      <c r="E227" s="5"/>
      <c r="F227" s="5"/>
      <c r="G227" s="5"/>
      <c r="I227" s="5"/>
      <c r="J227" s="5"/>
      <c r="K227" s="5"/>
    </row>
    <row r="228" spans="2:11" x14ac:dyDescent="0.2">
      <c r="B228" s="5"/>
      <c r="C228" s="5"/>
      <c r="D228" s="5"/>
      <c r="E228" s="5"/>
      <c r="F228" s="5"/>
      <c r="G228" s="5"/>
      <c r="I228" s="5"/>
      <c r="J228" s="5"/>
      <c r="K228" s="5"/>
    </row>
    <row r="229" spans="2:11" x14ac:dyDescent="0.2">
      <c r="B229" s="5"/>
      <c r="C229" s="5"/>
      <c r="D229" s="5"/>
      <c r="E229" s="5"/>
      <c r="F229" s="5"/>
      <c r="G229" s="5"/>
      <c r="I229" s="5"/>
      <c r="J229" s="5"/>
      <c r="K229" s="5"/>
    </row>
    <row r="230" spans="2:11" x14ac:dyDescent="0.2">
      <c r="B230" s="5"/>
      <c r="C230" s="5"/>
      <c r="D230" s="5"/>
      <c r="E230" s="5"/>
      <c r="F230" s="5"/>
      <c r="G230" s="5"/>
      <c r="I230" s="5"/>
      <c r="J230" s="5"/>
      <c r="K230" s="5"/>
    </row>
    <row r="231" spans="2:11" x14ac:dyDescent="0.2">
      <c r="B231" s="5"/>
      <c r="C231" s="5"/>
      <c r="D231" s="5"/>
      <c r="E231" s="5"/>
      <c r="F231" s="5"/>
      <c r="G231" s="5"/>
      <c r="I231" s="5"/>
      <c r="J231" s="5"/>
      <c r="K231" s="5"/>
    </row>
    <row r="232" spans="2:11" x14ac:dyDescent="0.2">
      <c r="B232" s="5"/>
      <c r="C232" s="5"/>
      <c r="D232" s="5"/>
      <c r="E232" s="5"/>
      <c r="F232" s="5"/>
      <c r="G232" s="5"/>
      <c r="I232" s="5"/>
      <c r="J232" s="5"/>
      <c r="K232" s="5"/>
    </row>
    <row r="233" spans="2:11" x14ac:dyDescent="0.2">
      <c r="B233" s="5"/>
      <c r="C233" s="5"/>
      <c r="D233" s="5"/>
      <c r="E233" s="5"/>
      <c r="F233" s="5"/>
      <c r="G233" s="5"/>
      <c r="I233" s="5"/>
      <c r="J233" s="5"/>
      <c r="K233" s="5"/>
    </row>
    <row r="234" spans="2:11" x14ac:dyDescent="0.2">
      <c r="B234" s="5"/>
      <c r="C234" s="5"/>
      <c r="D234" s="5"/>
      <c r="E234" s="5"/>
      <c r="F234" s="5"/>
      <c r="G234" s="5"/>
      <c r="I234" s="5"/>
      <c r="J234" s="5"/>
      <c r="K234" s="5"/>
    </row>
    <row r="235" spans="2:11" x14ac:dyDescent="0.2">
      <c r="B235" s="5"/>
      <c r="C235" s="5"/>
      <c r="D235" s="5"/>
      <c r="E235" s="5"/>
      <c r="F235" s="5"/>
      <c r="G235" s="5"/>
      <c r="I235" s="5"/>
      <c r="J235" s="5"/>
      <c r="K235" s="5"/>
    </row>
    <row r="236" spans="2:11" x14ac:dyDescent="0.2">
      <c r="B236" s="5"/>
      <c r="C236" s="5"/>
      <c r="D236" s="5"/>
      <c r="E236" s="5"/>
      <c r="F236" s="5"/>
      <c r="G236" s="5"/>
      <c r="I236" s="5"/>
      <c r="J236" s="5"/>
      <c r="K236" s="5"/>
    </row>
    <row r="237" spans="2:11" x14ac:dyDescent="0.2">
      <c r="B237" s="5"/>
      <c r="C237" s="5"/>
      <c r="D237" s="5"/>
      <c r="E237" s="5"/>
      <c r="F237" s="5"/>
      <c r="G237" s="5"/>
      <c r="I237" s="5"/>
      <c r="J237" s="5"/>
      <c r="K237" s="5"/>
    </row>
    <row r="238" spans="2:1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24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24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24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24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24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24" x14ac:dyDescent="0.2">
      <c r="A262" s="6" t="s">
        <v>58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24" x14ac:dyDescent="0.2">
      <c r="A263" s="18" t="s">
        <v>45</v>
      </c>
      <c r="B263" s="16">
        <v>10142000</v>
      </c>
      <c r="C263" s="16">
        <v>11560000</v>
      </c>
      <c r="D263" s="16">
        <v>13903000</v>
      </c>
      <c r="E263" s="16">
        <v>14781000</v>
      </c>
      <c r="F263" s="16">
        <v>0</v>
      </c>
      <c r="G263" s="16">
        <f>E263</f>
        <v>14781000</v>
      </c>
      <c r="H263" s="43">
        <f>G263</f>
        <v>14781000</v>
      </c>
      <c r="I263" s="16">
        <v>14782000</v>
      </c>
      <c r="J263" s="31">
        <v>15521000</v>
      </c>
      <c r="K263" s="31">
        <v>16297000</v>
      </c>
    </row>
    <row r="264" spans="1:24" x14ac:dyDescent="0.2">
      <c r="A264" s="18" t="s">
        <v>51</v>
      </c>
      <c r="B264" s="16"/>
      <c r="C264" s="16"/>
      <c r="D264" s="16"/>
      <c r="E264" s="16"/>
      <c r="F264" s="16"/>
      <c r="G264" s="16">
        <f t="shared" ref="G264:G277" si="16">E264</f>
        <v>0</v>
      </c>
      <c r="H264" s="43">
        <f t="shared" ref="H264:H277" si="17">G264</f>
        <v>0</v>
      </c>
      <c r="I264" s="16"/>
      <c r="J264" s="31">
        <f t="shared" ref="J264:J267" si="18">I264*105.3%</f>
        <v>0</v>
      </c>
      <c r="K264" s="31">
        <f t="shared" ref="K264:K267" si="19">J264*105.5%</f>
        <v>0</v>
      </c>
    </row>
    <row r="265" spans="1:24" x14ac:dyDescent="0.2">
      <c r="A265" s="18" t="s">
        <v>44</v>
      </c>
      <c r="B265" s="16">
        <v>21239000</v>
      </c>
      <c r="C265" s="16">
        <v>24582000</v>
      </c>
      <c r="D265" s="16">
        <v>26616000</v>
      </c>
      <c r="E265" s="16">
        <v>37972000</v>
      </c>
      <c r="F265" s="16">
        <v>0</v>
      </c>
      <c r="G265" s="16">
        <f t="shared" si="16"/>
        <v>37972000</v>
      </c>
      <c r="H265" s="43">
        <f t="shared" si="17"/>
        <v>37972000</v>
      </c>
      <c r="I265" s="16">
        <v>32071000</v>
      </c>
      <c r="J265" s="31">
        <v>33675000</v>
      </c>
      <c r="K265" s="31">
        <v>35359000</v>
      </c>
    </row>
    <row r="266" spans="1:24" x14ac:dyDescent="0.2">
      <c r="A266" s="18" t="s">
        <v>8</v>
      </c>
      <c r="B266" s="16"/>
      <c r="C266" s="16"/>
      <c r="D266" s="16"/>
      <c r="E266" s="16"/>
      <c r="F266" s="16"/>
      <c r="G266" s="16">
        <f t="shared" si="16"/>
        <v>0</v>
      </c>
      <c r="H266" s="43">
        <f t="shared" si="17"/>
        <v>0</v>
      </c>
      <c r="I266" s="16"/>
      <c r="J266" s="31">
        <f t="shared" si="18"/>
        <v>0</v>
      </c>
      <c r="K266" s="31">
        <f t="shared" si="19"/>
        <v>0</v>
      </c>
    </row>
    <row r="267" spans="1:24" x14ac:dyDescent="0.2">
      <c r="A267" s="18" t="s">
        <v>47</v>
      </c>
      <c r="B267" s="16"/>
      <c r="C267" s="16"/>
      <c r="D267" s="16"/>
      <c r="E267" s="16"/>
      <c r="F267" s="16"/>
      <c r="G267" s="16">
        <f t="shared" si="16"/>
        <v>0</v>
      </c>
      <c r="H267" s="43">
        <f t="shared" si="17"/>
        <v>0</v>
      </c>
      <c r="I267" s="16"/>
      <c r="J267" s="31">
        <f t="shared" si="18"/>
        <v>0</v>
      </c>
      <c r="K267" s="31">
        <f t="shared" si="19"/>
        <v>0</v>
      </c>
    </row>
    <row r="268" spans="1:24" x14ac:dyDescent="0.2">
      <c r="A268" s="18" t="s">
        <v>48</v>
      </c>
      <c r="B268" s="16">
        <f>400000+1292000</f>
        <v>1692000</v>
      </c>
      <c r="C268" s="16">
        <f>1306000+518000</f>
        <v>1824000</v>
      </c>
      <c r="D268" s="16">
        <f>1547000+51000</f>
        <v>1598000</v>
      </c>
      <c r="E268" s="16">
        <f>1355000+61000</f>
        <v>1416000</v>
      </c>
      <c r="F268" s="16"/>
      <c r="G268" s="16">
        <f t="shared" si="16"/>
        <v>1416000</v>
      </c>
      <c r="H268" s="43">
        <f t="shared" si="17"/>
        <v>1416000</v>
      </c>
      <c r="I268" s="16">
        <f>2195000+46000</f>
        <v>2241000</v>
      </c>
      <c r="J268" s="31">
        <f>2338000+49000</f>
        <v>2387000</v>
      </c>
      <c r="K268" s="31">
        <f>2492000+55000</f>
        <v>2547000</v>
      </c>
      <c r="N268" s="37">
        <f>B263+B264+B265+B266+B267+B268+B269+B270+B271+B272+B273+B274+B275+B276+B277</f>
        <v>130434000</v>
      </c>
      <c r="O268" s="37">
        <f t="shared" ref="O268:V268" si="20">C263+C264+C265+C266+C267+C268+C269+C270+C271+C272+C273+C274+C275+C276+C277</f>
        <v>163064000</v>
      </c>
      <c r="P268" s="37">
        <f t="shared" si="20"/>
        <v>181673000</v>
      </c>
      <c r="Q268" s="37">
        <f t="shared" si="20"/>
        <v>186233000</v>
      </c>
      <c r="R268" s="37">
        <f t="shared" si="20"/>
        <v>0</v>
      </c>
      <c r="S268" s="37">
        <f t="shared" si="20"/>
        <v>186233000</v>
      </c>
      <c r="T268" s="37">
        <f t="shared" si="20"/>
        <v>186233000</v>
      </c>
      <c r="U268" s="37">
        <f>I263+I264+I265+I266+I267+I268+I269+I270+I271+I272+I273+I274+I275+I276+I277</f>
        <v>195664000</v>
      </c>
      <c r="V268" s="37">
        <f t="shared" si="20"/>
        <v>176968000</v>
      </c>
      <c r="W268" s="37">
        <f>K263+K264+K265+K266+K267+K268+K269+K270+K271+K272+K273+K274+K275+K276+K277</f>
        <v>186195000</v>
      </c>
      <c r="X268" s="37">
        <f>L263+L264+L265+L266+L267+L268+L269+L270+L271+L272+L273+L274+L275+L276+L277</f>
        <v>0</v>
      </c>
    </row>
    <row r="269" spans="1:24" x14ac:dyDescent="0.2">
      <c r="A269" s="18" t="s">
        <v>46</v>
      </c>
      <c r="B269" s="16">
        <f>19514000+146000+459000</f>
        <v>20119000</v>
      </c>
      <c r="C269" s="16">
        <f>23011000+626000</f>
        <v>23637000</v>
      </c>
      <c r="D269" s="16">
        <f>27593000+673000</f>
        <v>28266000</v>
      </c>
      <c r="E269" s="16">
        <f>27593000+673000+5931000</f>
        <v>34197000</v>
      </c>
      <c r="F269" s="16"/>
      <c r="G269" s="16">
        <f t="shared" si="16"/>
        <v>34197000</v>
      </c>
      <c r="H269" s="43">
        <f t="shared" si="17"/>
        <v>34197000</v>
      </c>
      <c r="I269" s="16">
        <f>33809000+388000+11807000</f>
        <v>46004000</v>
      </c>
      <c r="J269" s="31">
        <f>35499000+407000+5506000</f>
        <v>41412000</v>
      </c>
      <c r="K269" s="31">
        <f>37274000+428000+5956000</f>
        <v>43658000</v>
      </c>
    </row>
    <row r="270" spans="1:24" x14ac:dyDescent="0.2">
      <c r="A270" s="18" t="s">
        <v>52</v>
      </c>
      <c r="B270" s="16">
        <v>6600000</v>
      </c>
      <c r="C270" s="16">
        <v>7402000</v>
      </c>
      <c r="D270" s="16">
        <v>13221000</v>
      </c>
      <c r="E270" s="16">
        <v>8894000</v>
      </c>
      <c r="F270" s="16"/>
      <c r="G270" s="16">
        <f t="shared" si="16"/>
        <v>8894000</v>
      </c>
      <c r="H270" s="43">
        <f t="shared" si="17"/>
        <v>8894000</v>
      </c>
      <c r="I270" s="16">
        <v>10139000</v>
      </c>
      <c r="J270" s="31">
        <v>10646000</v>
      </c>
      <c r="K270" s="31">
        <v>11178000</v>
      </c>
    </row>
    <row r="271" spans="1:24" x14ac:dyDescent="0.2">
      <c r="A271" s="18" t="s">
        <v>50</v>
      </c>
      <c r="B271" s="16">
        <v>2499000</v>
      </c>
      <c r="C271" s="16">
        <v>3285000</v>
      </c>
      <c r="D271" s="16">
        <v>3391000</v>
      </c>
      <c r="E271" s="16">
        <v>3547000</v>
      </c>
      <c r="F271" s="16"/>
      <c r="G271" s="16">
        <f t="shared" si="16"/>
        <v>3547000</v>
      </c>
      <c r="H271" s="43">
        <f t="shared" si="17"/>
        <v>3547000</v>
      </c>
      <c r="I271" s="16">
        <v>4698000</v>
      </c>
      <c r="J271" s="31">
        <v>4700000</v>
      </c>
      <c r="K271" s="31">
        <v>5000000</v>
      </c>
    </row>
    <row r="272" spans="1:24" x14ac:dyDescent="0.2">
      <c r="A272" s="18" t="s">
        <v>118</v>
      </c>
      <c r="B272" s="16"/>
      <c r="C272" s="16"/>
      <c r="D272" s="16"/>
      <c r="E272" s="16"/>
      <c r="F272" s="16"/>
      <c r="G272" s="16">
        <f t="shared" si="16"/>
        <v>0</v>
      </c>
      <c r="H272" s="43">
        <f t="shared" si="17"/>
        <v>0</v>
      </c>
      <c r="I272" s="16"/>
      <c r="J272" s="31"/>
      <c r="K272" s="31"/>
    </row>
    <row r="273" spans="1:11" x14ac:dyDescent="0.2">
      <c r="A273" s="18" t="s">
        <v>53</v>
      </c>
      <c r="B273" s="16"/>
      <c r="C273" s="16"/>
      <c r="D273" s="16"/>
      <c r="E273" s="16"/>
      <c r="F273" s="16"/>
      <c r="G273" s="16">
        <f t="shared" si="16"/>
        <v>0</v>
      </c>
      <c r="H273" s="43">
        <f t="shared" si="17"/>
        <v>0</v>
      </c>
      <c r="I273" s="16"/>
      <c r="J273" s="31"/>
      <c r="K273" s="31"/>
    </row>
    <row r="274" spans="1:11" x14ac:dyDescent="0.2">
      <c r="A274" s="18" t="s">
        <v>54</v>
      </c>
      <c r="B274" s="16">
        <v>3664000</v>
      </c>
      <c r="C274" s="16">
        <v>22336000</v>
      </c>
      <c r="D274" s="16">
        <v>9374000</v>
      </c>
      <c r="E274" s="16">
        <v>9841000</v>
      </c>
      <c r="F274" s="16"/>
      <c r="G274" s="16">
        <f t="shared" si="16"/>
        <v>9841000</v>
      </c>
      <c r="H274" s="43">
        <f t="shared" si="17"/>
        <v>9841000</v>
      </c>
      <c r="I274" s="16">
        <v>9799000</v>
      </c>
      <c r="J274" s="31">
        <v>9800000</v>
      </c>
      <c r="K274" s="31">
        <v>10388000</v>
      </c>
    </row>
    <row r="275" spans="1:11" x14ac:dyDescent="0.2">
      <c r="A275" s="18" t="s">
        <v>56</v>
      </c>
      <c r="B275" s="16">
        <v>34374000</v>
      </c>
      <c r="C275" s="16">
        <v>30948000</v>
      </c>
      <c r="D275" s="16">
        <v>30577000</v>
      </c>
      <c r="E275" s="16">
        <v>24727000</v>
      </c>
      <c r="F275" s="16"/>
      <c r="G275" s="16">
        <f t="shared" si="16"/>
        <v>24727000</v>
      </c>
      <c r="H275" s="43">
        <f t="shared" si="17"/>
        <v>24727000</v>
      </c>
      <c r="I275" s="16">
        <v>26798000</v>
      </c>
      <c r="J275" s="31">
        <v>28406000</v>
      </c>
      <c r="K275" s="31">
        <v>29826000</v>
      </c>
    </row>
    <row r="276" spans="1:11" x14ac:dyDescent="0.2">
      <c r="A276" s="18" t="s">
        <v>55</v>
      </c>
      <c r="B276" s="16"/>
      <c r="C276" s="16"/>
      <c r="D276" s="16"/>
      <c r="E276" s="16"/>
      <c r="F276" s="16"/>
      <c r="G276" s="16">
        <f t="shared" si="16"/>
        <v>0</v>
      </c>
      <c r="H276" s="43">
        <f t="shared" si="17"/>
        <v>0</v>
      </c>
      <c r="I276" s="16"/>
      <c r="J276" s="31"/>
      <c r="K276" s="31"/>
    </row>
    <row r="277" spans="1:11" x14ac:dyDescent="0.2">
      <c r="A277" s="18" t="s">
        <v>2</v>
      </c>
      <c r="B277" s="16">
        <v>30105000</v>
      </c>
      <c r="C277" s="16">
        <v>37490000</v>
      </c>
      <c r="D277" s="16">
        <v>54727000</v>
      </c>
      <c r="E277" s="16">
        <v>50858000</v>
      </c>
      <c r="F277" s="16"/>
      <c r="G277" s="16">
        <f t="shared" si="16"/>
        <v>50858000</v>
      </c>
      <c r="H277" s="43">
        <f t="shared" si="17"/>
        <v>50858000</v>
      </c>
      <c r="I277" s="16">
        <v>49132000</v>
      </c>
      <c r="J277" s="31">
        <v>30421000</v>
      </c>
      <c r="K277" s="31">
        <v>31942000</v>
      </c>
    </row>
    <row r="278" spans="1:11" x14ac:dyDescent="0.2"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x14ac:dyDescent="0.2"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x14ac:dyDescent="0.2"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x14ac:dyDescent="0.2"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x14ac:dyDescent="0.2"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x14ac:dyDescent="0.2"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x14ac:dyDescent="0.2"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x14ac:dyDescent="0.2"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2:11" x14ac:dyDescent="0.2"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2:11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2:11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2:11" x14ac:dyDescent="0.2">
      <c r="B292" s="5"/>
      <c r="C292" s="5"/>
      <c r="D292" s="5"/>
      <c r="E292" s="5"/>
      <c r="F292" s="5"/>
      <c r="G292" s="5"/>
      <c r="H292" s="5"/>
      <c r="I292" s="5"/>
      <c r="J292" s="5"/>
      <c r="K292" s="5"/>
    </row>
  </sheetData>
  <phoneticPr fontId="3" type="noConversion"/>
  <pageMargins left="0.75" right="0.75" top="1" bottom="1" header="0.5" footer="0.5"/>
  <pageSetup paperSize="9" scale="83" orientation="portrait" verticalDpi="0" r:id="rId1"/>
  <headerFooter alignWithMargins="0"/>
  <rowBreaks count="1" manualBreakCount="1">
    <brk id="146" max="16383" man="1"/>
  </rowBreaks>
  <colBreaks count="1" manualBreakCount="1">
    <brk id="12" max="1048575" man="1"/>
  </colBreaks>
  <ignoredErrors>
    <ignoredError sqref="B21:K21 J17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218"/>
  <sheetViews>
    <sheetView workbookViewId="0">
      <pane ySplit="1" topLeftCell="A247" activePane="bottomLeft" state="frozen"/>
      <selection pane="bottomLeft" activeCell="J274" sqref="J274"/>
    </sheetView>
  </sheetViews>
  <sheetFormatPr defaultRowHeight="11.25" x14ac:dyDescent="0.2"/>
  <cols>
    <col min="1" max="1" width="35.7109375" style="11" customWidth="1"/>
    <col min="2" max="11" width="6.7109375" style="11" customWidth="1"/>
    <col min="12" max="16384" width="9.140625" style="11"/>
  </cols>
  <sheetData>
    <row r="1" spans="1:22" ht="33.75" x14ac:dyDescent="0.2">
      <c r="A1" s="12" t="s">
        <v>6</v>
      </c>
      <c r="B1" s="4" t="s">
        <v>122</v>
      </c>
      <c r="C1" s="4" t="s">
        <v>125</v>
      </c>
      <c r="D1" s="4" t="s">
        <v>126</v>
      </c>
      <c r="E1" s="4" t="s">
        <v>127</v>
      </c>
      <c r="F1" s="4" t="s">
        <v>128</v>
      </c>
      <c r="G1" s="4" t="s">
        <v>129</v>
      </c>
      <c r="H1" s="4" t="s">
        <v>130</v>
      </c>
      <c r="I1" s="4" t="s">
        <v>131</v>
      </c>
      <c r="J1" s="4" t="s">
        <v>132</v>
      </c>
      <c r="K1" s="4" t="s">
        <v>133</v>
      </c>
    </row>
    <row r="2" spans="1:22" x14ac:dyDescent="0.2">
      <c r="A2" s="17" t="s">
        <v>45</v>
      </c>
      <c r="B2" s="31">
        <v>63</v>
      </c>
      <c r="C2" s="31">
        <v>63</v>
      </c>
      <c r="D2" s="31"/>
      <c r="E2" s="31"/>
      <c r="F2" s="31"/>
      <c r="G2" s="31"/>
      <c r="H2" s="31"/>
      <c r="I2" s="31"/>
      <c r="J2" s="31"/>
      <c r="K2" s="31"/>
    </row>
    <row r="3" spans="1:22" x14ac:dyDescent="0.2">
      <c r="A3" s="17" t="s">
        <v>51</v>
      </c>
      <c r="B3" s="31"/>
      <c r="C3" s="31"/>
      <c r="D3" s="31"/>
      <c r="E3" s="31"/>
      <c r="F3" s="31"/>
      <c r="G3" s="31"/>
      <c r="H3" s="31"/>
      <c r="I3" s="31"/>
      <c r="J3" s="31"/>
      <c r="K3" s="31"/>
      <c r="M3" s="13">
        <f>B2+B3+B4+B5+B6+B7+B8+B9+B10+B11+B12+B13+B14+B15+B16</f>
        <v>17310063</v>
      </c>
      <c r="N3" s="13">
        <f t="shared" ref="N3:V3" si="0">C2+C3+C4+C5+C6+C7+C8+C9+C10+C11+C12+C13+C14+C15+C16</f>
        <v>14079063</v>
      </c>
      <c r="O3" s="13">
        <f t="shared" si="0"/>
        <v>10491000</v>
      </c>
      <c r="P3" s="13">
        <f t="shared" si="0"/>
        <v>49684000</v>
      </c>
      <c r="Q3" s="13">
        <f t="shared" si="0"/>
        <v>0</v>
      </c>
      <c r="R3" s="13">
        <f t="shared" si="0"/>
        <v>49684000</v>
      </c>
      <c r="S3" s="13">
        <f t="shared" si="0"/>
        <v>49684000</v>
      </c>
      <c r="T3" s="13">
        <f t="shared" si="0"/>
        <v>29450000</v>
      </c>
      <c r="U3" s="13">
        <f t="shared" si="0"/>
        <v>29808000</v>
      </c>
      <c r="V3" s="13">
        <f t="shared" si="0"/>
        <v>38354000</v>
      </c>
    </row>
    <row r="4" spans="1:22" x14ac:dyDescent="0.2">
      <c r="A4" s="17" t="s">
        <v>49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22" x14ac:dyDescent="0.2">
      <c r="A5" s="17" t="s">
        <v>44</v>
      </c>
      <c r="B5" s="31">
        <v>7300000</v>
      </c>
      <c r="C5" s="31">
        <v>1800000</v>
      </c>
      <c r="D5" s="31">
        <f>8006000-4113000</f>
        <v>3893000</v>
      </c>
      <c r="E5" s="31">
        <v>6040000</v>
      </c>
      <c r="F5" s="31"/>
      <c r="G5" s="31">
        <f>E5</f>
        <v>6040000</v>
      </c>
      <c r="H5" s="31">
        <f>G5</f>
        <v>6040000</v>
      </c>
      <c r="I5" s="31">
        <v>2000000</v>
      </c>
      <c r="J5" s="31"/>
      <c r="K5" s="31"/>
    </row>
    <row r="6" spans="1:22" x14ac:dyDescent="0.2">
      <c r="A6" s="17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22" x14ac:dyDescent="0.2">
      <c r="A7" s="17" t="s">
        <v>50</v>
      </c>
      <c r="B7" s="31"/>
      <c r="C7" s="31">
        <v>0</v>
      </c>
      <c r="D7" s="31"/>
      <c r="E7" s="31">
        <v>7200000</v>
      </c>
      <c r="F7" s="31">
        <v>0</v>
      </c>
      <c r="G7" s="31">
        <f>E7</f>
        <v>7200000</v>
      </c>
      <c r="H7" s="31">
        <f>G7</f>
        <v>7200000</v>
      </c>
      <c r="I7" s="31">
        <v>6500000</v>
      </c>
      <c r="J7" s="31"/>
      <c r="K7" s="31"/>
    </row>
    <row r="8" spans="1:22" x14ac:dyDescent="0.2">
      <c r="A8" s="17" t="s">
        <v>48</v>
      </c>
      <c r="B8" s="31">
        <v>0</v>
      </c>
      <c r="C8" s="31">
        <v>4700000</v>
      </c>
      <c r="D8" s="31">
        <v>0</v>
      </c>
      <c r="E8" s="31">
        <v>0</v>
      </c>
      <c r="F8" s="31">
        <f>E8</f>
        <v>0</v>
      </c>
      <c r="G8" s="31">
        <f>E8</f>
        <v>0</v>
      </c>
      <c r="H8" s="31"/>
      <c r="I8" s="31">
        <v>5000000</v>
      </c>
      <c r="J8" s="31">
        <v>0</v>
      </c>
      <c r="K8" s="31">
        <v>0</v>
      </c>
    </row>
    <row r="9" spans="1:22" x14ac:dyDescent="0.2">
      <c r="A9" s="17" t="s">
        <v>52</v>
      </c>
      <c r="B9" s="31"/>
      <c r="C9" s="31"/>
      <c r="D9" s="31"/>
      <c r="E9" s="31"/>
      <c r="F9" s="31"/>
      <c r="G9" s="31"/>
      <c r="H9" s="31"/>
      <c r="I9" s="31">
        <v>0</v>
      </c>
      <c r="J9" s="31"/>
      <c r="K9" s="31"/>
    </row>
    <row r="10" spans="1:22" x14ac:dyDescent="0.2">
      <c r="A10" s="17" t="s">
        <v>56</v>
      </c>
      <c r="B10" s="31">
        <v>0</v>
      </c>
      <c r="C10" s="31">
        <v>2040000</v>
      </c>
      <c r="D10" s="31"/>
      <c r="E10" s="31"/>
      <c r="F10" s="31"/>
      <c r="G10" s="31"/>
      <c r="H10" s="31"/>
      <c r="I10" s="31">
        <v>3027000</v>
      </c>
      <c r="J10" s="31"/>
      <c r="K10" s="31"/>
    </row>
    <row r="11" spans="1:22" x14ac:dyDescent="0.2">
      <c r="A11" s="18" t="s">
        <v>124</v>
      </c>
      <c r="B11" s="31"/>
      <c r="C11" s="31"/>
      <c r="D11" s="31"/>
      <c r="E11" s="31"/>
      <c r="F11" s="31"/>
      <c r="G11" s="31"/>
      <c r="H11" s="31"/>
      <c r="I11" s="31">
        <v>0</v>
      </c>
      <c r="J11" s="31"/>
      <c r="K11" s="31"/>
    </row>
    <row r="12" spans="1:22" x14ac:dyDescent="0.2">
      <c r="A12" s="18" t="s">
        <v>123</v>
      </c>
      <c r="B12" s="31"/>
      <c r="C12" s="31"/>
      <c r="D12" s="31"/>
      <c r="E12" s="31">
        <v>6800000</v>
      </c>
      <c r="F12" s="31"/>
      <c r="G12" s="31">
        <f>E12</f>
        <v>6800000</v>
      </c>
      <c r="H12" s="31">
        <f>G12</f>
        <v>6800000</v>
      </c>
      <c r="I12" s="31">
        <v>0</v>
      </c>
      <c r="J12" s="31"/>
      <c r="K12" s="31"/>
    </row>
    <row r="13" spans="1:22" x14ac:dyDescent="0.2">
      <c r="A13" s="17" t="s">
        <v>2</v>
      </c>
      <c r="B13" s="31"/>
      <c r="C13" s="31">
        <v>0</v>
      </c>
      <c r="D13" s="31">
        <v>0</v>
      </c>
      <c r="E13" s="31">
        <v>0</v>
      </c>
      <c r="F13" s="31">
        <v>0</v>
      </c>
      <c r="G13" s="31">
        <f>E13</f>
        <v>0</v>
      </c>
      <c r="H13" s="31"/>
      <c r="I13" s="31">
        <v>1500000</v>
      </c>
      <c r="J13" s="31">
        <v>0</v>
      </c>
      <c r="K13" s="31">
        <v>0</v>
      </c>
    </row>
    <row r="14" spans="1:22" x14ac:dyDescent="0.2">
      <c r="A14" s="17" t="s">
        <v>55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22" x14ac:dyDescent="0.2">
      <c r="A15" s="17" t="s">
        <v>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22" x14ac:dyDescent="0.2">
      <c r="A16" s="17" t="s">
        <v>46</v>
      </c>
      <c r="B16" s="31">
        <v>10010000</v>
      </c>
      <c r="C16" s="31">
        <v>5539000</v>
      </c>
      <c r="D16" s="31">
        <v>6598000</v>
      </c>
      <c r="E16" s="31">
        <f>6598000+29644000-6598000</f>
        <v>29644000</v>
      </c>
      <c r="F16" s="31"/>
      <c r="G16" s="31">
        <f>E16</f>
        <v>29644000</v>
      </c>
      <c r="H16" s="31">
        <f>G16</f>
        <v>29644000</v>
      </c>
      <c r="I16" s="31">
        <v>11423000</v>
      </c>
      <c r="J16" s="31">
        <f>19808000+10000000</f>
        <v>29808000</v>
      </c>
      <c r="K16" s="31">
        <f>20522000+17832000</f>
        <v>38354000</v>
      </c>
    </row>
    <row r="17" spans="1:11" ht="12" thickBot="1" x14ac:dyDescent="0.25">
      <c r="A17" s="7" t="s">
        <v>26</v>
      </c>
      <c r="B17" s="15">
        <f>SUM(B2:B16)</f>
        <v>17310063</v>
      </c>
      <c r="C17" s="15">
        <f t="shared" ref="C17:K17" si="1">SUM(C2:C16)</f>
        <v>14079063</v>
      </c>
      <c r="D17" s="15">
        <f t="shared" si="1"/>
        <v>10491000</v>
      </c>
      <c r="E17" s="15">
        <f t="shared" si="1"/>
        <v>49684000</v>
      </c>
      <c r="F17" s="15">
        <f t="shared" si="1"/>
        <v>0</v>
      </c>
      <c r="G17" s="15">
        <f t="shared" si="1"/>
        <v>49684000</v>
      </c>
      <c r="H17" s="15">
        <f t="shared" si="1"/>
        <v>49684000</v>
      </c>
      <c r="I17" s="15">
        <f t="shared" si="1"/>
        <v>29450000</v>
      </c>
      <c r="J17" s="15">
        <f t="shared" si="1"/>
        <v>29808000</v>
      </c>
      <c r="K17" s="15">
        <f t="shared" si="1"/>
        <v>38354000</v>
      </c>
    </row>
    <row r="18" spans="1:11" ht="12" thickTop="1" x14ac:dyDescent="0.2"/>
    <row r="58" spans="1:13" x14ac:dyDescent="0.2">
      <c r="A58" s="12" t="s">
        <v>62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1:13" x14ac:dyDescent="0.2">
      <c r="A59" s="19" t="s">
        <v>119</v>
      </c>
      <c r="B59" s="16">
        <v>7300000</v>
      </c>
      <c r="C59" s="16">
        <v>1800000</v>
      </c>
      <c r="D59" s="16">
        <f>8006000-4113000</f>
        <v>3893000</v>
      </c>
      <c r="E59" s="16">
        <v>8006000</v>
      </c>
      <c r="F59" s="16"/>
      <c r="G59" s="16">
        <f>E59</f>
        <v>8006000</v>
      </c>
      <c r="H59" s="16">
        <f>G59</f>
        <v>8006000</v>
      </c>
      <c r="I59" s="16">
        <v>2000000</v>
      </c>
      <c r="J59" s="16"/>
      <c r="K59" s="16"/>
      <c r="M59" s="13">
        <f t="shared" ref="M59:M65" si="2">SUM(I59:K59)</f>
        <v>2000000</v>
      </c>
    </row>
    <row r="60" spans="1:13" x14ac:dyDescent="0.2">
      <c r="A60" s="18" t="s">
        <v>120</v>
      </c>
      <c r="B60" s="16">
        <v>0</v>
      </c>
      <c r="C60" s="16">
        <v>4700000</v>
      </c>
      <c r="D60" s="16"/>
      <c r="E60" s="16"/>
      <c r="F60" s="16"/>
      <c r="G60" s="16"/>
      <c r="H60" s="16">
        <f t="shared" ref="H60:H65" si="3">IF($L$59=0,0,$L$59)</f>
        <v>0</v>
      </c>
      <c r="I60" s="16"/>
      <c r="J60" s="16"/>
      <c r="K60" s="16"/>
      <c r="M60" s="13">
        <f t="shared" si="2"/>
        <v>0</v>
      </c>
    </row>
    <row r="61" spans="1:13" x14ac:dyDescent="0.2">
      <c r="A61" s="18" t="s">
        <v>117</v>
      </c>
      <c r="B61" s="16">
        <v>10010000</v>
      </c>
      <c r="C61" s="16">
        <v>5539000</v>
      </c>
      <c r="D61" s="16">
        <f>6598000</f>
        <v>6598000</v>
      </c>
      <c r="E61" s="16">
        <f>6598000+35080000</f>
        <v>41678000</v>
      </c>
      <c r="F61" s="16">
        <v>0</v>
      </c>
      <c r="G61" s="16">
        <f>E61</f>
        <v>41678000</v>
      </c>
      <c r="H61" s="16">
        <f>G61</f>
        <v>41678000</v>
      </c>
      <c r="I61" s="16">
        <f>6800000+1000000+3040000+16844000-234000</f>
        <v>27450000</v>
      </c>
      <c r="J61" s="16">
        <v>29808000</v>
      </c>
      <c r="K61" s="16">
        <v>38354000</v>
      </c>
      <c r="M61" s="13">
        <f t="shared" si="2"/>
        <v>95612000</v>
      </c>
    </row>
    <row r="62" spans="1:13" x14ac:dyDescent="0.2">
      <c r="A62" s="18" t="s">
        <v>121</v>
      </c>
      <c r="B62" s="16"/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f t="shared" si="3"/>
        <v>0</v>
      </c>
      <c r="I62" s="16">
        <v>0</v>
      </c>
      <c r="J62" s="16">
        <v>0</v>
      </c>
      <c r="K62" s="16">
        <v>0</v>
      </c>
      <c r="M62" s="13">
        <f t="shared" si="2"/>
        <v>0</v>
      </c>
    </row>
    <row r="63" spans="1:13" ht="12" thickBot="1" x14ac:dyDescent="0.25">
      <c r="A63" s="23" t="s">
        <v>43</v>
      </c>
      <c r="B63" s="21"/>
      <c r="C63" s="21">
        <v>2040000</v>
      </c>
      <c r="D63" s="21"/>
      <c r="E63" s="21"/>
      <c r="F63" s="21">
        <f t="shared" ref="F63:G65" si="4">IF($L$59=0,0,$L$59)</f>
        <v>0</v>
      </c>
      <c r="G63" s="21">
        <f t="shared" si="4"/>
        <v>0</v>
      </c>
      <c r="H63" s="21">
        <f t="shared" si="3"/>
        <v>0</v>
      </c>
      <c r="I63" s="21"/>
      <c r="J63" s="21"/>
      <c r="K63" s="21"/>
      <c r="M63" s="13">
        <f t="shared" si="2"/>
        <v>0</v>
      </c>
    </row>
    <row r="64" spans="1:13" x14ac:dyDescent="0.2">
      <c r="A64" s="17" t="s">
        <v>42</v>
      </c>
      <c r="B64" s="16"/>
      <c r="C64" s="16">
        <f>IF($L$59=0,0,$L$59)</f>
        <v>0</v>
      </c>
      <c r="D64" s="16"/>
      <c r="E64" s="16"/>
      <c r="F64" s="16">
        <f t="shared" si="4"/>
        <v>0</v>
      </c>
      <c r="G64" s="16">
        <f t="shared" si="4"/>
        <v>0</v>
      </c>
      <c r="H64" s="16">
        <f t="shared" si="3"/>
        <v>0</v>
      </c>
      <c r="I64" s="16"/>
      <c r="J64" s="16"/>
      <c r="K64" s="16"/>
      <c r="M64" s="13">
        <f t="shared" si="2"/>
        <v>0</v>
      </c>
    </row>
    <row r="65" spans="1:13" x14ac:dyDescent="0.2">
      <c r="A65" s="17" t="s">
        <v>61</v>
      </c>
      <c r="B65" s="16">
        <v>0</v>
      </c>
      <c r="C65" s="16">
        <v>0</v>
      </c>
      <c r="D65" s="16"/>
      <c r="E65" s="16"/>
      <c r="F65" s="16">
        <f t="shared" si="4"/>
        <v>0</v>
      </c>
      <c r="G65" s="16">
        <f t="shared" si="4"/>
        <v>0</v>
      </c>
      <c r="H65" s="16">
        <f t="shared" si="3"/>
        <v>0</v>
      </c>
      <c r="I65" s="16"/>
      <c r="J65" s="16"/>
      <c r="K65" s="16"/>
      <c r="M65" s="13">
        <f t="shared" si="2"/>
        <v>0</v>
      </c>
    </row>
    <row r="66" spans="1:13" ht="12" thickBot="1" x14ac:dyDescent="0.25">
      <c r="A66" s="7" t="s">
        <v>26</v>
      </c>
      <c r="B66" s="15">
        <f t="shared" ref="B66:K66" si="5">SUM(B59:B65)</f>
        <v>17310000</v>
      </c>
      <c r="C66" s="15">
        <f t="shared" si="5"/>
        <v>14079000</v>
      </c>
      <c r="D66" s="15">
        <f t="shared" si="5"/>
        <v>10491000</v>
      </c>
      <c r="E66" s="15">
        <f t="shared" si="5"/>
        <v>49684000</v>
      </c>
      <c r="F66" s="15">
        <f t="shared" si="5"/>
        <v>0</v>
      </c>
      <c r="G66" s="15">
        <f t="shared" si="5"/>
        <v>49684000</v>
      </c>
      <c r="H66" s="15">
        <f t="shared" si="5"/>
        <v>49684000</v>
      </c>
      <c r="I66" s="15">
        <f t="shared" si="5"/>
        <v>29450000</v>
      </c>
      <c r="J66" s="15">
        <f t="shared" si="5"/>
        <v>29808000</v>
      </c>
      <c r="K66" s="15">
        <f t="shared" si="5"/>
        <v>38354000</v>
      </c>
    </row>
    <row r="67" spans="1:13" ht="12" thickTop="1" x14ac:dyDescent="0.2"/>
    <row r="92" spans="12:12" x14ac:dyDescent="0.2">
      <c r="L92" s="22"/>
    </row>
    <row r="212" spans="1:11" x14ac:dyDescent="0.2">
      <c r="A212" s="6" t="s">
        <v>103</v>
      </c>
    </row>
    <row r="213" spans="1:11" x14ac:dyDescent="0.2">
      <c r="A213" s="11" t="s">
        <v>63</v>
      </c>
      <c r="B213" s="16"/>
      <c r="C213" s="16"/>
      <c r="D213" s="16">
        <v>0</v>
      </c>
      <c r="E213" s="16"/>
      <c r="F213" s="16">
        <v>0</v>
      </c>
      <c r="G213" s="16">
        <v>0</v>
      </c>
      <c r="H213" s="16">
        <v>0</v>
      </c>
      <c r="I213" s="16"/>
      <c r="J213" s="16"/>
      <c r="K213" s="16">
        <v>0</v>
      </c>
    </row>
    <row r="214" spans="1:11" x14ac:dyDescent="0.2">
      <c r="A214" s="11" t="s">
        <v>64</v>
      </c>
      <c r="B214" s="16"/>
      <c r="C214" s="16">
        <v>0</v>
      </c>
      <c r="D214" s="16">
        <v>0</v>
      </c>
      <c r="E214" s="16">
        <v>20000</v>
      </c>
      <c r="F214" s="16">
        <v>0</v>
      </c>
      <c r="G214" s="16">
        <f>E214</f>
        <v>20000</v>
      </c>
      <c r="H214" s="16">
        <f>G214</f>
        <v>20000</v>
      </c>
      <c r="I214" s="16">
        <v>0</v>
      </c>
      <c r="J214" s="16"/>
      <c r="K214" s="16">
        <v>0</v>
      </c>
    </row>
    <row r="215" spans="1:11" x14ac:dyDescent="0.2">
      <c r="A215" s="11" t="s">
        <v>65</v>
      </c>
      <c r="B215" s="16"/>
      <c r="C215" s="16">
        <v>0</v>
      </c>
      <c r="D215" s="16">
        <v>0</v>
      </c>
      <c r="E215" s="16">
        <v>12840</v>
      </c>
      <c r="F215" s="16">
        <v>0</v>
      </c>
      <c r="G215" s="16">
        <f>E215</f>
        <v>12840</v>
      </c>
      <c r="H215" s="16">
        <f>G215</f>
        <v>12840</v>
      </c>
      <c r="I215" s="16">
        <v>10507</v>
      </c>
      <c r="J215" s="16">
        <v>10000</v>
      </c>
      <c r="K215" s="16">
        <v>17832</v>
      </c>
    </row>
    <row r="216" spans="1:11" x14ac:dyDescent="0.2">
      <c r="A216" s="11" t="s">
        <v>66</v>
      </c>
      <c r="B216" s="16">
        <v>10010</v>
      </c>
      <c r="C216" s="16">
        <v>12039</v>
      </c>
      <c r="D216" s="16">
        <v>14604</v>
      </c>
      <c r="E216" s="16">
        <v>16844</v>
      </c>
      <c r="F216" s="16">
        <v>0</v>
      </c>
      <c r="G216" s="16">
        <f>E216</f>
        <v>16844</v>
      </c>
      <c r="H216" s="16">
        <f>G216</f>
        <v>16844</v>
      </c>
      <c r="I216" s="16">
        <v>18943</v>
      </c>
      <c r="J216" s="16">
        <v>19808</v>
      </c>
      <c r="K216" s="16">
        <v>20522</v>
      </c>
    </row>
    <row r="217" spans="1:11" ht="12" thickBot="1" x14ac:dyDescent="0.25">
      <c r="B217" s="14">
        <f>SUM(B213:B216)</f>
        <v>10010</v>
      </c>
      <c r="C217" s="14">
        <f t="shared" ref="C217:K217" si="6">SUM(C213:C216)</f>
        <v>12039</v>
      </c>
      <c r="D217" s="14">
        <f t="shared" si="6"/>
        <v>14604</v>
      </c>
      <c r="E217" s="14">
        <f t="shared" si="6"/>
        <v>49684</v>
      </c>
      <c r="F217" s="14">
        <f t="shared" si="6"/>
        <v>0</v>
      </c>
      <c r="G217" s="14">
        <f t="shared" si="6"/>
        <v>49684</v>
      </c>
      <c r="H217" s="14">
        <f t="shared" si="6"/>
        <v>49684</v>
      </c>
      <c r="I217" s="14">
        <f t="shared" si="6"/>
        <v>29450</v>
      </c>
      <c r="J217" s="14">
        <f t="shared" si="6"/>
        <v>29808</v>
      </c>
      <c r="K217" s="14">
        <f t="shared" si="6"/>
        <v>38354</v>
      </c>
    </row>
    <row r="218" spans="1:11" ht="12" thickTop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9" orientation="portrait" verticalDpi="0" r:id="rId1"/>
  <headerFooter alignWithMargins="0"/>
  <rowBreaks count="3" manualBreakCount="3">
    <brk id="66" max="10" man="1"/>
    <brk id="146" max="10" man="1"/>
    <brk id="211" max="10" man="1"/>
  </rowBreaks>
  <ignoredErrors>
    <ignoredError sqref="I66:K66 M59:M65 F66:H66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88"/>
  <sheetViews>
    <sheetView workbookViewId="0">
      <pane ySplit="1" topLeftCell="A2" activePane="bottomLeft" state="frozen"/>
      <selection pane="bottomLeft" activeCell="E84" sqref="E84"/>
    </sheetView>
  </sheetViews>
  <sheetFormatPr defaultRowHeight="11.25" x14ac:dyDescent="0.2"/>
  <cols>
    <col min="1" max="1" width="35.7109375" style="11" customWidth="1"/>
    <col min="2" max="11" width="6.7109375" style="11" customWidth="1"/>
    <col min="12" max="16384" width="9.140625" style="11"/>
  </cols>
  <sheetData>
    <row r="1" spans="1:11" ht="33.75" x14ac:dyDescent="0.2">
      <c r="A1" s="12" t="s">
        <v>67</v>
      </c>
      <c r="B1" s="4" t="s">
        <v>122</v>
      </c>
      <c r="C1" s="4" t="s">
        <v>125</v>
      </c>
      <c r="D1" s="4" t="s">
        <v>126</v>
      </c>
      <c r="E1" s="4" t="s">
        <v>127</v>
      </c>
      <c r="F1" s="4" t="s">
        <v>128</v>
      </c>
      <c r="G1" s="4" t="s">
        <v>129</v>
      </c>
      <c r="H1" s="4" t="s">
        <v>130</v>
      </c>
      <c r="I1" s="4" t="s">
        <v>131</v>
      </c>
      <c r="J1" s="4" t="s">
        <v>132</v>
      </c>
      <c r="K1" s="4" t="s">
        <v>133</v>
      </c>
    </row>
    <row r="2" spans="1:11" x14ac:dyDescent="0.2">
      <c r="A2" s="17" t="s">
        <v>73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">
      <c r="A3" s="17" t="s">
        <v>72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">
      <c r="A4" s="17" t="s">
        <v>68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x14ac:dyDescent="0.2">
      <c r="A5" s="17" t="s">
        <v>74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x14ac:dyDescent="0.2">
      <c r="A6" s="17" t="s">
        <v>76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x14ac:dyDescent="0.2">
      <c r="A7" s="17" t="s">
        <v>71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x14ac:dyDescent="0.2">
      <c r="A8" s="26" t="s">
        <v>7</v>
      </c>
      <c r="B8" s="34">
        <v>0</v>
      </c>
      <c r="C8" s="34">
        <v>0</v>
      </c>
      <c r="D8" s="34">
        <v>0</v>
      </c>
      <c r="E8" s="34"/>
      <c r="F8" s="34"/>
      <c r="G8" s="34"/>
      <c r="H8" s="34"/>
      <c r="I8" s="34"/>
      <c r="J8" s="34"/>
      <c r="K8" s="34"/>
    </row>
    <row r="9" spans="1:11" x14ac:dyDescent="0.2">
      <c r="A9" s="17" t="s">
        <v>69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x14ac:dyDescent="0.2">
      <c r="A10" s="17" t="s">
        <v>75</v>
      </c>
      <c r="B10" s="31">
        <v>74277</v>
      </c>
      <c r="C10" s="31">
        <v>120612</v>
      </c>
      <c r="D10" s="31">
        <v>124942</v>
      </c>
      <c r="E10" s="31">
        <v>140801</v>
      </c>
      <c r="F10" s="31">
        <v>150223</v>
      </c>
      <c r="G10" s="31">
        <f>F10</f>
        <v>150223</v>
      </c>
      <c r="H10" s="31"/>
      <c r="I10" s="31">
        <v>140673</v>
      </c>
      <c r="J10" s="31">
        <v>148533</v>
      </c>
      <c r="K10" s="31">
        <v>156614</v>
      </c>
    </row>
    <row r="11" spans="1:11" x14ac:dyDescent="0.2">
      <c r="A11" s="17" t="s">
        <v>70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12" thickBot="1" x14ac:dyDescent="0.25">
      <c r="A12" s="25" t="s">
        <v>26</v>
      </c>
      <c r="B12" s="24">
        <f>SUM(B8:B11)</f>
        <v>74277</v>
      </c>
      <c r="C12" s="24">
        <f t="shared" ref="C12:K12" si="0">SUM(C8:C11)</f>
        <v>120612</v>
      </c>
      <c r="D12" s="24">
        <f t="shared" si="0"/>
        <v>124942</v>
      </c>
      <c r="E12" s="24">
        <f t="shared" si="0"/>
        <v>140801</v>
      </c>
      <c r="F12" s="24">
        <f t="shared" si="0"/>
        <v>150223</v>
      </c>
      <c r="G12" s="24">
        <f t="shared" si="0"/>
        <v>150223</v>
      </c>
      <c r="H12" s="24">
        <f t="shared" si="0"/>
        <v>0</v>
      </c>
      <c r="I12" s="24">
        <f t="shared" si="0"/>
        <v>140673</v>
      </c>
      <c r="J12" s="24">
        <f t="shared" si="0"/>
        <v>148533</v>
      </c>
      <c r="K12" s="24">
        <f t="shared" si="0"/>
        <v>156614</v>
      </c>
    </row>
    <row r="13" spans="1:11" ht="12" thickTop="1" x14ac:dyDescent="0.2"/>
    <row r="39" spans="1:11" x14ac:dyDescent="0.2">
      <c r="A39" s="12" t="s">
        <v>77</v>
      </c>
    </row>
    <row r="40" spans="1:11" x14ac:dyDescent="0.2">
      <c r="A40" s="11" t="s">
        <v>68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A41" s="11" t="s">
        <v>69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A42" s="11" t="s">
        <v>70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A43" s="11" t="s">
        <v>71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A44" s="11" t="s">
        <v>72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A45" s="11" t="s">
        <v>73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A46" s="11" t="s">
        <v>74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A47" s="11" t="s">
        <v>75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/>
      <c r="I47" s="31">
        <v>0</v>
      </c>
      <c r="J47" s="31">
        <v>0</v>
      </c>
      <c r="K47" s="31">
        <v>0</v>
      </c>
    </row>
    <row r="48" spans="1:11" x14ac:dyDescent="0.2">
      <c r="A48" s="11" t="s">
        <v>76</v>
      </c>
      <c r="B48" s="31">
        <v>74000</v>
      </c>
      <c r="C48" s="31">
        <v>121000</v>
      </c>
      <c r="D48" s="31">
        <v>125000</v>
      </c>
      <c r="E48" s="31">
        <v>141000</v>
      </c>
      <c r="F48" s="31">
        <v>150000</v>
      </c>
      <c r="G48" s="31">
        <v>150000</v>
      </c>
      <c r="H48" s="31"/>
      <c r="I48" s="31">
        <v>141000</v>
      </c>
      <c r="J48" s="31">
        <v>149000</v>
      </c>
      <c r="K48" s="31">
        <v>157000</v>
      </c>
    </row>
    <row r="49" spans="1:11" ht="12" thickBot="1" x14ac:dyDescent="0.25">
      <c r="A49" s="25" t="s">
        <v>26</v>
      </c>
      <c r="B49" s="24">
        <f t="shared" ref="B49:G49" si="1">SUM(B40:B48)</f>
        <v>74000</v>
      </c>
      <c r="C49" s="24">
        <f t="shared" si="1"/>
        <v>121000</v>
      </c>
      <c r="D49" s="24">
        <f t="shared" si="1"/>
        <v>125000</v>
      </c>
      <c r="E49" s="24">
        <f t="shared" si="1"/>
        <v>141000</v>
      </c>
      <c r="F49" s="24">
        <f t="shared" si="1"/>
        <v>150000</v>
      </c>
      <c r="G49" s="24">
        <f t="shared" si="1"/>
        <v>150000</v>
      </c>
      <c r="H49" s="24"/>
      <c r="I49" s="24">
        <f>SUM(I40:I48)</f>
        <v>141000</v>
      </c>
      <c r="J49" s="24">
        <f>SUM(J40:J48)</f>
        <v>149000</v>
      </c>
      <c r="K49" s="24">
        <f>SUM(K40:K48)</f>
        <v>157000</v>
      </c>
    </row>
    <row r="50" spans="1:11" ht="12" thickTop="1" x14ac:dyDescent="0.2"/>
    <row r="76" spans="1:11" x14ac:dyDescent="0.2">
      <c r="A76" s="6" t="s">
        <v>5</v>
      </c>
    </row>
    <row r="77" spans="1:11" x14ac:dyDescent="0.2">
      <c r="A77" s="11" t="s">
        <v>72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</row>
    <row r="78" spans="1:11" x14ac:dyDescent="0.2">
      <c r="A78" s="11" t="s">
        <v>68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</row>
    <row r="79" spans="1:11" x14ac:dyDescent="0.2">
      <c r="A79" s="11" t="s">
        <v>74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</row>
    <row r="80" spans="1:11" x14ac:dyDescent="0.2">
      <c r="A80" s="11" t="s">
        <v>71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</row>
    <row r="81" spans="1:11" x14ac:dyDescent="0.2">
      <c r="A81" s="11" t="s">
        <v>76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</row>
    <row r="82" spans="1:11" x14ac:dyDescent="0.2">
      <c r="A82" s="26" t="s">
        <v>7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</row>
    <row r="83" spans="1:11" x14ac:dyDescent="0.2">
      <c r="A83" s="11" t="s">
        <v>75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</row>
    <row r="84" spans="1:11" x14ac:dyDescent="0.2">
      <c r="A84" s="11" t="s">
        <v>69</v>
      </c>
      <c r="B84" s="31">
        <v>12000</v>
      </c>
      <c r="C84" s="31">
        <v>10000</v>
      </c>
      <c r="D84" s="31">
        <v>12039</v>
      </c>
      <c r="E84" s="31">
        <v>12039</v>
      </c>
      <c r="F84" s="31">
        <f>E84</f>
        <v>12039</v>
      </c>
      <c r="G84" s="31">
        <f>F84</f>
        <v>12039</v>
      </c>
      <c r="H84" s="31"/>
      <c r="I84" s="31">
        <v>29450</v>
      </c>
      <c r="J84" s="31">
        <v>29808</v>
      </c>
      <c r="K84" s="31">
        <v>38354</v>
      </c>
    </row>
    <row r="85" spans="1:11" x14ac:dyDescent="0.2">
      <c r="A85" s="11" t="s">
        <v>73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</row>
    <row r="86" spans="1:11" x14ac:dyDescent="0.2">
      <c r="A86" s="11" t="s">
        <v>70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11" ht="12" thickBot="1" x14ac:dyDescent="0.25">
      <c r="A87" s="7" t="s">
        <v>26</v>
      </c>
      <c r="B87" s="24">
        <f>SUM(B82:B86)</f>
        <v>12000</v>
      </c>
      <c r="C87" s="24">
        <f t="shared" ref="C87:K87" si="2">SUM(C82:C86)</f>
        <v>10000</v>
      </c>
      <c r="D87" s="24">
        <f t="shared" si="2"/>
        <v>12039</v>
      </c>
      <c r="E87" s="24">
        <f t="shared" si="2"/>
        <v>12039</v>
      </c>
      <c r="F87" s="24">
        <f t="shared" si="2"/>
        <v>12039</v>
      </c>
      <c r="G87" s="24">
        <f t="shared" si="2"/>
        <v>12039</v>
      </c>
      <c r="H87" s="24">
        <f t="shared" si="2"/>
        <v>0</v>
      </c>
      <c r="I87" s="24">
        <f t="shared" si="2"/>
        <v>29450</v>
      </c>
      <c r="J87" s="24">
        <f t="shared" si="2"/>
        <v>29808</v>
      </c>
      <c r="K87" s="24">
        <f t="shared" si="2"/>
        <v>38354</v>
      </c>
    </row>
    <row r="88" spans="1:11" ht="12" thickTop="1" x14ac:dyDescent="0.2"/>
  </sheetData>
  <phoneticPr fontId="3" type="noConversion"/>
  <pageMargins left="0.75" right="0.75" top="1" bottom="1" header="0.5" footer="0.5"/>
  <pageSetup paperSize="9" scale="78" orientation="portrait" verticalDpi="0" r:id="rId1"/>
  <headerFooter alignWithMargins="0"/>
  <rowBreaks count="1" manualBreakCount="1">
    <brk id="7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85"/>
  <sheetViews>
    <sheetView tabSelected="1" workbookViewId="0">
      <pane ySplit="1" topLeftCell="A191" activePane="bottomLeft" state="frozen"/>
      <selection pane="bottomLeft" activeCell="G218" sqref="G218"/>
    </sheetView>
  </sheetViews>
  <sheetFormatPr defaultRowHeight="11.25" x14ac:dyDescent="0.2"/>
  <cols>
    <col min="1" max="1" width="35.7109375" style="11" customWidth="1"/>
    <col min="2" max="11" width="6.7109375" style="11" customWidth="1"/>
    <col min="12" max="16384" width="9.140625" style="11"/>
  </cols>
  <sheetData>
    <row r="1" spans="1:21" ht="33.75" x14ac:dyDescent="0.2">
      <c r="A1" s="12" t="s">
        <v>81</v>
      </c>
      <c r="B1" s="4" t="s">
        <v>122</v>
      </c>
      <c r="C1" s="4" t="s">
        <v>125</v>
      </c>
      <c r="D1" s="4" t="s">
        <v>126</v>
      </c>
      <c r="E1" s="4" t="s">
        <v>127</v>
      </c>
      <c r="F1" s="4" t="s">
        <v>128</v>
      </c>
      <c r="G1" s="4" t="s">
        <v>129</v>
      </c>
      <c r="H1" s="4" t="s">
        <v>130</v>
      </c>
      <c r="I1" s="4" t="s">
        <v>131</v>
      </c>
      <c r="J1" s="4" t="s">
        <v>132</v>
      </c>
      <c r="K1" s="4" t="s">
        <v>133</v>
      </c>
    </row>
    <row r="2" spans="1:21" x14ac:dyDescent="0.2">
      <c r="A2" s="22" t="s">
        <v>78</v>
      </c>
      <c r="B2" s="31">
        <v>24715000</v>
      </c>
      <c r="C2" s="31">
        <v>8482000</v>
      </c>
      <c r="D2" s="31">
        <v>-20743000</v>
      </c>
      <c r="E2" s="31">
        <v>8162000</v>
      </c>
      <c r="F2" s="31"/>
      <c r="G2" s="31">
        <f>E2</f>
        <v>8162000</v>
      </c>
      <c r="H2" s="31">
        <f>G2</f>
        <v>8162000</v>
      </c>
      <c r="I2" s="31">
        <v>13590000</v>
      </c>
      <c r="J2" s="31">
        <v>28727000</v>
      </c>
      <c r="K2" s="31">
        <v>27853000</v>
      </c>
      <c r="U2" s="11">
        <v>0</v>
      </c>
    </row>
    <row r="3" spans="1:21" x14ac:dyDescent="0.2">
      <c r="A3" s="22" t="s">
        <v>79</v>
      </c>
      <c r="B3" s="31">
        <v>-16184000</v>
      </c>
      <c r="C3" s="31">
        <v>-9071000</v>
      </c>
      <c r="D3" s="31">
        <v>-13874000</v>
      </c>
      <c r="E3" s="31">
        <v>-20981000</v>
      </c>
      <c r="F3" s="31"/>
      <c r="G3" s="31">
        <f>E3</f>
        <v>-20981000</v>
      </c>
      <c r="H3" s="31">
        <f>G3</f>
        <v>-20981000</v>
      </c>
      <c r="I3" s="31">
        <v>3007000</v>
      </c>
      <c r="J3" s="31">
        <v>-29808000</v>
      </c>
      <c r="K3" s="31">
        <v>-38354000</v>
      </c>
      <c r="U3" s="11">
        <v>0</v>
      </c>
    </row>
    <row r="4" spans="1:21" x14ac:dyDescent="0.2">
      <c r="A4" s="22" t="s">
        <v>80</v>
      </c>
      <c r="B4" s="31">
        <v>-4280000</v>
      </c>
      <c r="C4" s="31">
        <v>-4234000</v>
      </c>
      <c r="D4" s="31">
        <v>-2103000</v>
      </c>
      <c r="E4" s="31">
        <v>18632000</v>
      </c>
      <c r="F4" s="31"/>
      <c r="G4" s="31">
        <f>E4</f>
        <v>18632000</v>
      </c>
      <c r="H4" s="31">
        <f>G4</f>
        <v>18632000</v>
      </c>
      <c r="I4" s="31">
        <v>-7502000</v>
      </c>
      <c r="J4" s="31">
        <v>-1299000</v>
      </c>
      <c r="K4" s="31">
        <v>-1364000</v>
      </c>
      <c r="U4" s="11">
        <v>0</v>
      </c>
    </row>
    <row r="31" spans="1:12" x14ac:dyDescent="0.2">
      <c r="A31" s="6" t="s">
        <v>0</v>
      </c>
    </row>
    <row r="32" spans="1:12" x14ac:dyDescent="0.2">
      <c r="A32" s="11" t="s">
        <v>82</v>
      </c>
      <c r="B32" s="35">
        <v>0.1</v>
      </c>
      <c r="C32" s="35">
        <v>0.1</v>
      </c>
      <c r="D32" s="35">
        <v>0.1</v>
      </c>
      <c r="E32" s="35">
        <v>5.3999999999999999E-2</v>
      </c>
      <c r="F32" s="35">
        <v>5.3999999999999999E-2</v>
      </c>
      <c r="G32" s="35">
        <v>5.3999999999999999E-2</v>
      </c>
      <c r="H32" s="35">
        <v>5.3999999999999999E-2</v>
      </c>
      <c r="I32" s="35">
        <v>5.5E-2</v>
      </c>
      <c r="J32" s="35">
        <v>5.0999999999999997E-2</v>
      </c>
      <c r="K32" s="35">
        <v>4.9000000000000002E-2</v>
      </c>
      <c r="L32" s="11" t="s">
        <v>89</v>
      </c>
    </row>
    <row r="33" spans="1:11" x14ac:dyDescent="0.2">
      <c r="A33" s="11" t="s">
        <v>83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">
      <c r="A34" s="11" t="s">
        <v>84</v>
      </c>
      <c r="B34" s="35">
        <v>0.1</v>
      </c>
      <c r="C34" s="35">
        <v>0.1</v>
      </c>
      <c r="D34" s="35">
        <v>0.1</v>
      </c>
      <c r="E34" s="35">
        <v>5.3999999999999999E-2</v>
      </c>
      <c r="F34" s="35">
        <v>5.3999999999999999E-2</v>
      </c>
      <c r="G34" s="35">
        <v>5.3999999999999999E-2</v>
      </c>
      <c r="H34" s="35">
        <v>5.3999999999999999E-2</v>
      </c>
      <c r="I34" s="35">
        <v>5.5E-2</v>
      </c>
      <c r="J34" s="35">
        <v>5.0999999999999997E-2</v>
      </c>
      <c r="K34" s="35">
        <v>4.9000000000000002E-2</v>
      </c>
    </row>
    <row r="35" spans="1:11" x14ac:dyDescent="0.2">
      <c r="A35" s="11" t="s">
        <v>85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x14ac:dyDescent="0.2">
      <c r="A36" s="11" t="s">
        <v>86</v>
      </c>
      <c r="B36" s="35">
        <v>0.1</v>
      </c>
      <c r="C36" s="35">
        <v>0.1</v>
      </c>
      <c r="D36" s="35">
        <v>0.1</v>
      </c>
      <c r="E36" s="35">
        <v>5.3999999999999999E-2</v>
      </c>
      <c r="F36" s="35">
        <v>5.3999999999999999E-2</v>
      </c>
      <c r="G36" s="35">
        <v>5.3999999999999999E-2</v>
      </c>
      <c r="H36" s="35">
        <v>5.3999999999999999E-2</v>
      </c>
      <c r="I36" s="35">
        <v>5.5E-2</v>
      </c>
      <c r="J36" s="35">
        <v>5.0999999999999997E-2</v>
      </c>
      <c r="K36" s="35">
        <v>4.9000000000000002E-2</v>
      </c>
    </row>
    <row r="37" spans="1:11" x14ac:dyDescent="0.2">
      <c r="A37" s="11" t="s">
        <v>87</v>
      </c>
      <c r="B37" s="35">
        <v>0.1</v>
      </c>
      <c r="C37" s="35">
        <v>0.1</v>
      </c>
      <c r="D37" s="35">
        <v>0.1</v>
      </c>
      <c r="E37" s="35">
        <v>5.3999999999999999E-2</v>
      </c>
      <c r="F37" s="35">
        <v>5.3999999999999999E-2</v>
      </c>
      <c r="G37" s="35">
        <v>5.3999999999999999E-2</v>
      </c>
      <c r="H37" s="35">
        <v>5.3999999999999999E-2</v>
      </c>
      <c r="I37" s="35">
        <v>5.5E-2</v>
      </c>
      <c r="J37" s="35">
        <v>5.0999999999999997E-2</v>
      </c>
      <c r="K37" s="35">
        <v>4.9000000000000002E-2</v>
      </c>
    </row>
    <row r="38" spans="1:11" x14ac:dyDescent="0.2">
      <c r="A38" s="11" t="s">
        <v>88</v>
      </c>
      <c r="B38" s="35">
        <v>1.2E-2</v>
      </c>
      <c r="C38" s="35">
        <v>1.2E-2</v>
      </c>
      <c r="D38" s="35">
        <v>1.2E-2</v>
      </c>
      <c r="E38" s="35">
        <v>1.2E-2</v>
      </c>
      <c r="F38" s="35">
        <v>1.2E-2</v>
      </c>
      <c r="G38" s="35">
        <v>1.2E-2</v>
      </c>
      <c r="H38" s="35">
        <v>1.2E-2</v>
      </c>
      <c r="I38" s="35">
        <v>1.2E-2</v>
      </c>
      <c r="J38" s="35">
        <v>1.2E-2</v>
      </c>
      <c r="K38" s="35">
        <v>1.2E-2</v>
      </c>
    </row>
    <row r="70" spans="1:11" x14ac:dyDescent="0.2">
      <c r="A70" s="6" t="s">
        <v>90</v>
      </c>
    </row>
    <row r="71" spans="1:11" x14ac:dyDescent="0.2">
      <c r="A71" s="11" t="s">
        <v>64</v>
      </c>
      <c r="B71" s="35">
        <v>-5.5E-2</v>
      </c>
      <c r="C71" s="35">
        <v>1.6E-2</v>
      </c>
      <c r="D71" s="35">
        <v>0.121</v>
      </c>
      <c r="E71" s="35">
        <v>6.0000000000000001E-3</v>
      </c>
      <c r="F71" s="35">
        <f>E71</f>
        <v>6.0000000000000001E-3</v>
      </c>
      <c r="G71" s="35">
        <f>F71</f>
        <v>6.0000000000000001E-3</v>
      </c>
      <c r="H71" s="35">
        <f>G71</f>
        <v>6.0000000000000001E-3</v>
      </c>
      <c r="I71" s="35">
        <v>0</v>
      </c>
      <c r="J71" s="35">
        <v>0</v>
      </c>
      <c r="K71" s="35">
        <v>0</v>
      </c>
    </row>
    <row r="72" spans="1:11" x14ac:dyDescent="0.2">
      <c r="A72" s="11" t="s">
        <v>91</v>
      </c>
      <c r="B72" s="35"/>
      <c r="C72" s="35">
        <v>0.9</v>
      </c>
      <c r="D72" s="35">
        <v>0.6</v>
      </c>
      <c r="E72" s="35">
        <v>0.7</v>
      </c>
      <c r="F72" s="35">
        <v>0.7</v>
      </c>
      <c r="G72" s="35">
        <v>0.7</v>
      </c>
      <c r="H72" s="35">
        <v>0.7</v>
      </c>
      <c r="I72" s="35">
        <v>0.90900000000000003</v>
      </c>
      <c r="J72" s="35">
        <v>0.95</v>
      </c>
      <c r="K72" s="35">
        <v>0.93</v>
      </c>
    </row>
    <row r="73" spans="1:11" x14ac:dyDescent="0.2">
      <c r="A73" s="11" t="s">
        <v>3</v>
      </c>
      <c r="B73" s="35">
        <v>0.13</v>
      </c>
      <c r="C73" s="35">
        <v>0.16600000000000001</v>
      </c>
      <c r="D73" s="35">
        <v>0.09</v>
      </c>
      <c r="E73" s="35">
        <v>0.126</v>
      </c>
      <c r="F73" s="35">
        <v>0.126</v>
      </c>
      <c r="G73" s="35">
        <v>0.126</v>
      </c>
      <c r="H73" s="35">
        <v>0.126</v>
      </c>
      <c r="I73" s="35">
        <v>0.1</v>
      </c>
      <c r="J73" s="35">
        <v>0.05</v>
      </c>
      <c r="K73" s="35">
        <v>7.2999999999999995E-2</v>
      </c>
    </row>
    <row r="125" spans="1:11" x14ac:dyDescent="0.2">
      <c r="A125" s="6" t="s">
        <v>4</v>
      </c>
    </row>
    <row r="126" spans="1:11" x14ac:dyDescent="0.2">
      <c r="A126" s="11" t="s">
        <v>2</v>
      </c>
      <c r="B126" s="38">
        <v>0.03</v>
      </c>
      <c r="C126" s="36">
        <v>0.03</v>
      </c>
      <c r="D126" s="36">
        <v>0.03</v>
      </c>
      <c r="E126" s="38">
        <v>0.03</v>
      </c>
      <c r="F126" s="38">
        <v>0.03</v>
      </c>
      <c r="G126" s="38">
        <v>0.03</v>
      </c>
      <c r="H126" s="38">
        <v>0.03</v>
      </c>
      <c r="I126" s="38">
        <v>0.03</v>
      </c>
      <c r="J126" s="38">
        <v>0.03</v>
      </c>
      <c r="K126" s="38">
        <v>0.03</v>
      </c>
    </row>
    <row r="127" spans="1:11" x14ac:dyDescent="0.2">
      <c r="A127" s="11" t="s">
        <v>55</v>
      </c>
      <c r="B127" s="38">
        <v>4.9000000000000002E-2</v>
      </c>
      <c r="C127" s="38">
        <v>4.9000000000000002E-2</v>
      </c>
      <c r="D127" s="38">
        <v>4.9000000000000002E-2</v>
      </c>
      <c r="E127" s="38">
        <v>4.9000000000000002E-2</v>
      </c>
      <c r="F127" s="38">
        <v>4.9000000000000002E-2</v>
      </c>
      <c r="G127" s="38">
        <v>4.9000000000000002E-2</v>
      </c>
      <c r="H127" s="38">
        <v>4.9000000000000002E-2</v>
      </c>
      <c r="I127" s="38">
        <v>4.9000000000000002E-2</v>
      </c>
      <c r="J127" s="38">
        <v>4.9000000000000002E-2</v>
      </c>
      <c r="K127" s="38">
        <v>4.9000000000000002E-2</v>
      </c>
    </row>
    <row r="128" spans="1:11" x14ac:dyDescent="0.2">
      <c r="D128" s="38">
        <v>4.9000000000000002E-2</v>
      </c>
      <c r="E128" s="38">
        <v>4.9000000000000002E-2</v>
      </c>
      <c r="F128" s="38">
        <v>4.9000000000000002E-2</v>
      </c>
      <c r="G128" s="38">
        <v>4.9000000000000002E-2</v>
      </c>
      <c r="H128" s="38">
        <v>4.9000000000000002E-2</v>
      </c>
      <c r="I128" s="38">
        <v>4.9000000000000002E-2</v>
      </c>
      <c r="J128" s="38">
        <v>4.9000000000000002E-2</v>
      </c>
      <c r="K128" s="38">
        <v>4.9000000000000002E-2</v>
      </c>
    </row>
    <row r="154" spans="1:11" x14ac:dyDescent="0.2">
      <c r="A154" s="6" t="s">
        <v>92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8"/>
    </row>
    <row r="181" spans="1:11" x14ac:dyDescent="0.2">
      <c r="A181" s="6" t="s">
        <v>93</v>
      </c>
    </row>
    <row r="182" spans="1:11" x14ac:dyDescent="0.2">
      <c r="A182" s="11" t="s">
        <v>94</v>
      </c>
      <c r="B182" s="35">
        <v>0.378</v>
      </c>
      <c r="C182" s="35">
        <v>0.30499999999999999</v>
      </c>
      <c r="D182" s="35">
        <v>0.158</v>
      </c>
      <c r="E182" s="35">
        <v>0.32100000000000001</v>
      </c>
      <c r="F182" s="35">
        <v>0.32100000000000001</v>
      </c>
      <c r="G182" s="35">
        <v>0.32100000000000001</v>
      </c>
      <c r="H182" s="35">
        <v>0.32100000000000001</v>
      </c>
      <c r="I182" s="35">
        <v>0.33</v>
      </c>
      <c r="J182" s="35">
        <v>0.33</v>
      </c>
      <c r="K182" s="39">
        <v>0.33</v>
      </c>
    </row>
    <row r="183" spans="1:11" x14ac:dyDescent="0.2">
      <c r="A183" s="1" t="s">
        <v>17</v>
      </c>
      <c r="B183" s="35">
        <v>0.08</v>
      </c>
      <c r="C183" s="35">
        <v>0.08</v>
      </c>
      <c r="D183" s="35">
        <v>0.08</v>
      </c>
      <c r="E183" s="35">
        <v>0.09</v>
      </c>
      <c r="F183" s="35">
        <v>0.08</v>
      </c>
      <c r="G183" s="35">
        <v>0.08</v>
      </c>
      <c r="H183" s="35">
        <v>8.6999999999999994E-2</v>
      </c>
      <c r="I183" s="35">
        <v>8.7999999999999995E-2</v>
      </c>
      <c r="J183" s="35">
        <v>8.8999999999999996E-2</v>
      </c>
      <c r="K183" s="40">
        <v>8.8999999999999996E-2</v>
      </c>
    </row>
    <row r="184" spans="1:11" x14ac:dyDescent="0.2">
      <c r="A184" s="11" t="s">
        <v>95</v>
      </c>
      <c r="B184" s="35">
        <v>0.08</v>
      </c>
      <c r="C184" s="35">
        <v>0.09</v>
      </c>
      <c r="D184" s="35">
        <v>0.09</v>
      </c>
      <c r="E184" s="35">
        <v>0.09</v>
      </c>
      <c r="F184" s="35">
        <v>0.09</v>
      </c>
      <c r="G184" s="35">
        <v>0.09</v>
      </c>
      <c r="H184" s="35">
        <v>0.15</v>
      </c>
      <c r="I184" s="35">
        <v>0.15</v>
      </c>
      <c r="J184" s="35">
        <v>0.20699999999999999</v>
      </c>
      <c r="K184" s="39">
        <v>0.20699999999999999</v>
      </c>
    </row>
    <row r="185" spans="1:11" x14ac:dyDescent="0.2">
      <c r="A185" s="11" t="s">
        <v>96</v>
      </c>
      <c r="B185" s="35">
        <v>0.47</v>
      </c>
      <c r="C185" s="35">
        <v>0.53</v>
      </c>
      <c r="D185" s="35">
        <v>0.68</v>
      </c>
      <c r="E185" s="35">
        <v>0.5</v>
      </c>
      <c r="F185" s="35">
        <v>0.51</v>
      </c>
      <c r="G185" s="35">
        <v>0.51</v>
      </c>
      <c r="H185" s="35">
        <v>0.45</v>
      </c>
      <c r="I185" s="35">
        <v>0.44</v>
      </c>
      <c r="J185" s="35">
        <v>0.38</v>
      </c>
      <c r="K185" s="35">
        <v>0.38</v>
      </c>
    </row>
  </sheetData>
  <phoneticPr fontId="3" type="noConversion"/>
  <pageMargins left="0.75" right="0.75" top="1" bottom="1" header="0.5" footer="0.5"/>
  <pageSetup paperSize="9" scale="76" orientation="portrait" verticalDpi="0" r:id="rId1"/>
  <headerFooter alignWithMargins="0"/>
  <rowBreaks count="2" manualBreakCount="2">
    <brk id="70" max="11" man="1"/>
    <brk id="153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 list</vt:lpstr>
      <vt:lpstr>FinPerform</vt:lpstr>
      <vt:lpstr>Capital</vt:lpstr>
      <vt:lpstr>IDP</vt:lpstr>
      <vt:lpstr>Misc</vt:lpstr>
      <vt:lpstr>Capital!Print_Area</vt:lpstr>
      <vt:lpstr>FinPerform!Print_Area</vt:lpstr>
      <vt:lpstr>Misc!Print_Area</vt:lpstr>
    </vt:vector>
  </TitlesOfParts>
  <Company>National Treasury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1777</dc:creator>
  <cp:lastModifiedBy>Thabo</cp:lastModifiedBy>
  <cp:lastPrinted>2013-05-02T11:05:19Z</cp:lastPrinted>
  <dcterms:created xsi:type="dcterms:W3CDTF">2008-01-30T14:12:40Z</dcterms:created>
  <dcterms:modified xsi:type="dcterms:W3CDTF">2014-05-26T13:53:02Z</dcterms:modified>
</cp:coreProperties>
</file>